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2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omments3.xml" ContentType="application/vnd.openxmlformats-officedocument.spreadsheetml.comments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ento\Downloads\"/>
    </mc:Choice>
  </mc:AlternateContent>
  <xr:revisionPtr revIDLastSave="0" documentId="13_ncr:1_{03F98772-58B9-4D7E-B0A0-E2FC9B6BD17A}" xr6:coauthVersionLast="47" xr6:coauthVersionMax="47" xr10:uidLastSave="{00000000-0000-0000-0000-000000000000}"/>
  <bookViews>
    <workbookView xWindow="-120" yWindow="-120" windowWidth="20730" windowHeight="11040" tabRatio="845" firstSheet="1" activeTab="12" xr2:uid="{00000000-000D-0000-FFFF-FFFF00000000}"/>
  </bookViews>
  <sheets>
    <sheet name="Effective Rate_2013 (Baybay)" sheetId="18" state="hidden" r:id="rId1"/>
    <sheet name="Summary" sheetId="33" r:id="rId2"/>
    <sheet name="Jan" sheetId="14" r:id="rId3"/>
    <sheet name="Feb" sheetId="25" r:id="rId4"/>
    <sheet name="Mar" sheetId="26" r:id="rId5"/>
    <sheet name="Apr" sheetId="27" r:id="rId6"/>
    <sheet name="May" sheetId="28" r:id="rId7"/>
    <sheet name="Jun" sheetId="29" r:id="rId8"/>
    <sheet name="Jul" sheetId="30" r:id="rId9"/>
    <sheet name="Aug" sheetId="31" r:id="rId10"/>
    <sheet name="Sep" sheetId="32" r:id="rId11"/>
    <sheet name="Oct" sheetId="37" r:id="rId12"/>
    <sheet name="Nov" sheetId="38" r:id="rId13"/>
    <sheet name="Effective Rate_2014 (Baybay)" sheetId="22" state="hidden" r:id="rId14"/>
    <sheet name="Prud Rqmt PEMC" sheetId="20" state="hidden" r:id="rId15"/>
    <sheet name="Sr. Citizensdata" sheetId="10" state="hidden" r:id="rId16"/>
    <sheet name="2014_Annex A-3 (2)" sheetId="17" state="hidden" r:id="rId17"/>
    <sheet name="PSALM" sheetId="5" state="hidden" r:id="rId18"/>
    <sheet name="Notes" sheetId="7" state="hidden" r:id="rId19"/>
    <sheet name="Info" sheetId="19" state="hidden" r:id="rId20"/>
    <sheet name="Sheet1" sheetId="24" state="hidden" r:id="rId21"/>
  </sheets>
  <definedNames>
    <definedName name="_xlnm._FilterDatabase" localSheetId="20" hidden="1">Sheet1!$C$1:$D$100</definedName>
    <definedName name="_xlnm.Print_Area" localSheetId="16">'2014_Annex A-3 (2)'!$A$971:$I$1037</definedName>
    <definedName name="_xlnm.Print_Area" localSheetId="0">'Effective Rate_2013 (Baybay)'!$A$514:$H$562</definedName>
    <definedName name="_xlnm.Print_Area" localSheetId="13">'Effective Rate_2014 (Baybay)'!$A$713:$H$763</definedName>
    <definedName name="_xlnm.Print_Area" localSheetId="19">Info!$A$1:$D$19</definedName>
    <definedName name="_xlnm.Print_Area" localSheetId="2">Jan!#REF!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5" i="38" l="1"/>
  <c r="G44" i="38"/>
  <c r="E44" i="38"/>
  <c r="C44" i="38"/>
  <c r="G43" i="38"/>
  <c r="E43" i="38"/>
  <c r="C43" i="38"/>
  <c r="G45" i="37"/>
  <c r="G44" i="37"/>
  <c r="E44" i="37"/>
  <c r="C44" i="37"/>
  <c r="G43" i="37"/>
  <c r="E43" i="37"/>
  <c r="C43" i="37"/>
  <c r="G45" i="32" l="1"/>
  <c r="G44" i="32"/>
  <c r="E44" i="32"/>
  <c r="C44" i="32"/>
  <c r="G43" i="32"/>
  <c r="E43" i="32"/>
  <c r="C43" i="32"/>
  <c r="G45" i="31" l="1"/>
  <c r="G44" i="31"/>
  <c r="E44" i="31"/>
  <c r="C44" i="31"/>
  <c r="G43" i="31"/>
  <c r="E43" i="31"/>
  <c r="C43" i="31"/>
  <c r="G45" i="30" l="1"/>
  <c r="G44" i="30"/>
  <c r="E44" i="30"/>
  <c r="C44" i="30"/>
  <c r="G43" i="30"/>
  <c r="E43" i="30"/>
  <c r="C43" i="30"/>
  <c r="G45" i="29" l="1"/>
  <c r="G44" i="29"/>
  <c r="E44" i="29"/>
  <c r="C44" i="29"/>
  <c r="G43" i="29"/>
  <c r="E43" i="29"/>
  <c r="C43" i="29"/>
  <c r="G45" i="28" l="1"/>
  <c r="G44" i="28"/>
  <c r="E44" i="28"/>
  <c r="C44" i="28"/>
  <c r="G43" i="28"/>
  <c r="E43" i="28"/>
  <c r="C43" i="28"/>
  <c r="G45" i="27" l="1"/>
  <c r="G44" i="27"/>
  <c r="E44" i="27"/>
  <c r="C44" i="27"/>
  <c r="G43" i="27"/>
  <c r="E43" i="27"/>
  <c r="C43" i="27"/>
  <c r="G45" i="26" l="1"/>
  <c r="G44" i="26"/>
  <c r="E44" i="26"/>
  <c r="C44" i="26"/>
  <c r="G43" i="26"/>
  <c r="E43" i="26"/>
  <c r="C43" i="26"/>
  <c r="G45" i="25" l="1"/>
  <c r="G44" i="25"/>
  <c r="E44" i="25"/>
  <c r="C44" i="25"/>
  <c r="G43" i="25"/>
  <c r="E43" i="25"/>
  <c r="C43" i="25"/>
  <c r="G42" i="25"/>
  <c r="G40" i="25"/>
  <c r="E40" i="25"/>
  <c r="G39" i="25"/>
  <c r="E39" i="25"/>
  <c r="G38" i="25"/>
  <c r="E38" i="25"/>
  <c r="G36" i="25"/>
  <c r="E36" i="25"/>
  <c r="G35" i="25"/>
  <c r="E35" i="25"/>
  <c r="G34" i="25"/>
  <c r="E34" i="25"/>
  <c r="G31" i="25"/>
  <c r="E31" i="25"/>
  <c r="G29" i="25"/>
  <c r="E29" i="25"/>
  <c r="G28" i="25"/>
  <c r="E28" i="25"/>
  <c r="G18" i="25"/>
  <c r="E18" i="25"/>
  <c r="G14" i="25"/>
  <c r="E14" i="25"/>
  <c r="G13" i="25"/>
  <c r="E13" i="25"/>
  <c r="G12" i="25"/>
  <c r="E12" i="25"/>
  <c r="G11" i="25"/>
  <c r="E11" i="25"/>
  <c r="G10" i="25"/>
  <c r="E10" i="25"/>
  <c r="G45" i="14" l="1"/>
  <c r="G44" i="14"/>
  <c r="E44" i="14"/>
  <c r="C44" i="14"/>
  <c r="G43" i="14"/>
  <c r="E43" i="14"/>
  <c r="C43" i="14"/>
  <c r="E37" i="24" l="1"/>
  <c r="E36" i="24"/>
  <c r="E35" i="24"/>
  <c r="E34" i="24"/>
  <c r="E33" i="24"/>
  <c r="E32" i="24"/>
  <c r="E31" i="24"/>
  <c r="E30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9" i="24"/>
  <c r="E8" i="24"/>
  <c r="E7" i="24"/>
  <c r="E6" i="24"/>
  <c r="E5" i="24"/>
  <c r="E4" i="24"/>
  <c r="E3" i="24"/>
  <c r="E2" i="24"/>
  <c r="E1" i="24"/>
  <c r="D38" i="24"/>
  <c r="C38" i="24"/>
  <c r="E38" i="24" l="1"/>
  <c r="BW205" i="10" l="1"/>
  <c r="BU223" i="10" l="1"/>
  <c r="BS193" i="10" l="1"/>
  <c r="BQ211" i="10" l="1"/>
  <c r="BO193" i="10" l="1"/>
  <c r="BM203" i="10" l="1"/>
  <c r="BK210" i="10"/>
  <c r="BI170" i="10"/>
  <c r="BG205" i="10" l="1"/>
  <c r="C750" i="22"/>
  <c r="E750" i="22" s="1"/>
  <c r="G754" i="22"/>
  <c r="E754" i="22"/>
  <c r="C754" i="22"/>
  <c r="C747" i="22"/>
  <c r="E747" i="22" s="1"/>
  <c r="C745" i="22"/>
  <c r="G745" i="22" s="1"/>
  <c r="G756" i="22"/>
  <c r="G755" i="22"/>
  <c r="E755" i="22"/>
  <c r="C755" i="22"/>
  <c r="G753" i="22"/>
  <c r="G746" i="22"/>
  <c r="G742" i="22"/>
  <c r="E742" i="22"/>
  <c r="BE301" i="10"/>
  <c r="J702" i="22"/>
  <c r="J701" i="22"/>
  <c r="K701" i="22" s="1"/>
  <c r="J700" i="22"/>
  <c r="K700" i="22" s="1"/>
  <c r="K698" i="22"/>
  <c r="J698" i="22"/>
  <c r="R698" i="22" s="1"/>
  <c r="K697" i="22"/>
  <c r="J697" i="22"/>
  <c r="K696" i="22"/>
  <c r="J696" i="22"/>
  <c r="R696" i="22" s="1"/>
  <c r="K695" i="22"/>
  <c r="J695" i="22"/>
  <c r="R695" i="22" s="1"/>
  <c r="K688" i="22"/>
  <c r="J688" i="22"/>
  <c r="R688" i="22" s="1"/>
  <c r="K687" i="22"/>
  <c r="J687" i="22"/>
  <c r="R687" i="22" s="1"/>
  <c r="K676" i="22"/>
  <c r="J676" i="22"/>
  <c r="R676" i="22" s="1"/>
  <c r="J671" i="22"/>
  <c r="K671" i="22" s="1"/>
  <c r="G702" i="22"/>
  <c r="E702" i="22"/>
  <c r="C702" i="22"/>
  <c r="B1084" i="17"/>
  <c r="B1083" i="17"/>
  <c r="B1082" i="17"/>
  <c r="B1081" i="17"/>
  <c r="B1080" i="17"/>
  <c r="B1079" i="17"/>
  <c r="B1078" i="17"/>
  <c r="B1077" i="17"/>
  <c r="B1076" i="17"/>
  <c r="B1075" i="17"/>
  <c r="B1074" i="17"/>
  <c r="B1073" i="17"/>
  <c r="B1072" i="17"/>
  <c r="B1071" i="17"/>
  <c r="B1070" i="17"/>
  <c r="B1069" i="17"/>
  <c r="B1068" i="17"/>
  <c r="B1067" i="17"/>
  <c r="B1066" i="17"/>
  <c r="B1065" i="17"/>
  <c r="B1064" i="17"/>
  <c r="B1063" i="17"/>
  <c r="B1062" i="17"/>
  <c r="B1061" i="17"/>
  <c r="B1060" i="17"/>
  <c r="B1059" i="17"/>
  <c r="B1058" i="17"/>
  <c r="B1057" i="17"/>
  <c r="B1056" i="17"/>
  <c r="B1055" i="17"/>
  <c r="B1054" i="17"/>
  <c r="B1053" i="17"/>
  <c r="B1052" i="17"/>
  <c r="B1051" i="17"/>
  <c r="B1050" i="17"/>
  <c r="B1049" i="17"/>
  <c r="B1048" i="17"/>
  <c r="B1047" i="17"/>
  <c r="B1046" i="17"/>
  <c r="B1045" i="17"/>
  <c r="B1044" i="17"/>
  <c r="B1043" i="17"/>
  <c r="B1042" i="17"/>
  <c r="B1041" i="17"/>
  <c r="B1040" i="17"/>
  <c r="B1039" i="17"/>
  <c r="B1038" i="17"/>
  <c r="B1037" i="17"/>
  <c r="B1036" i="17"/>
  <c r="B1035" i="17"/>
  <c r="B1034" i="17"/>
  <c r="B1033" i="17"/>
  <c r="G1032" i="17"/>
  <c r="B1032" i="17"/>
  <c r="G1031" i="17"/>
  <c r="B1031" i="17"/>
  <c r="G1030" i="17"/>
  <c r="B1030" i="17"/>
  <c r="G1029" i="17"/>
  <c r="B1029" i="17"/>
  <c r="G1028" i="17"/>
  <c r="B1028" i="17"/>
  <c r="G1027" i="17"/>
  <c r="B1027" i="17"/>
  <c r="G1026" i="17"/>
  <c r="B1026" i="17"/>
  <c r="G1025" i="17"/>
  <c r="B1025" i="17"/>
  <c r="G1024" i="17"/>
  <c r="B1024" i="17"/>
  <c r="G1023" i="17"/>
  <c r="B1023" i="17"/>
  <c r="G1022" i="17"/>
  <c r="B1022" i="17"/>
  <c r="G1021" i="17"/>
  <c r="B1021" i="17"/>
  <c r="G1020" i="17"/>
  <c r="B1020" i="17"/>
  <c r="G1019" i="17"/>
  <c r="B1019" i="17"/>
  <c r="G1018" i="17"/>
  <c r="B1018" i="17"/>
  <c r="G1017" i="17"/>
  <c r="B1017" i="17"/>
  <c r="G1016" i="17"/>
  <c r="B1016" i="17"/>
  <c r="G1015" i="17"/>
  <c r="B1015" i="17"/>
  <c r="G1014" i="17"/>
  <c r="B1014" i="17"/>
  <c r="G1013" i="17"/>
  <c r="B1013" i="17"/>
  <c r="G1012" i="17"/>
  <c r="B1012" i="17"/>
  <c r="G1011" i="17"/>
  <c r="B1011" i="17"/>
  <c r="G1010" i="17"/>
  <c r="B1010" i="17"/>
  <c r="G1009" i="17"/>
  <c r="B1009" i="17"/>
  <c r="G1008" i="17"/>
  <c r="B1008" i="17"/>
  <c r="G1007" i="17"/>
  <c r="B1007" i="17"/>
  <c r="G1006" i="17"/>
  <c r="B1006" i="17"/>
  <c r="G1005" i="17"/>
  <c r="B1005" i="17"/>
  <c r="G1004" i="17"/>
  <c r="B1004" i="17"/>
  <c r="G1003" i="17"/>
  <c r="B1003" i="17"/>
  <c r="G1002" i="17"/>
  <c r="B1002" i="17"/>
  <c r="G1001" i="17"/>
  <c r="B1001" i="17"/>
  <c r="G1000" i="17"/>
  <c r="B1000" i="17"/>
  <c r="G999" i="17"/>
  <c r="B999" i="17"/>
  <c r="G998" i="17"/>
  <c r="B998" i="17"/>
  <c r="G997" i="17"/>
  <c r="B997" i="17"/>
  <c r="G996" i="17"/>
  <c r="B996" i="17"/>
  <c r="G995" i="17"/>
  <c r="B995" i="17"/>
  <c r="G994" i="17"/>
  <c r="B994" i="17"/>
  <c r="G993" i="17"/>
  <c r="B993" i="17"/>
  <c r="G992" i="17"/>
  <c r="B992" i="17"/>
  <c r="G991" i="17"/>
  <c r="B991" i="17"/>
  <c r="G990" i="17"/>
  <c r="B990" i="17"/>
  <c r="G989" i="17"/>
  <c r="B989" i="17"/>
  <c r="G988" i="17"/>
  <c r="B988" i="17"/>
  <c r="G987" i="17"/>
  <c r="B987" i="17"/>
  <c r="G986" i="17"/>
  <c r="B986" i="17"/>
  <c r="G985" i="17"/>
  <c r="B985" i="17"/>
  <c r="I984" i="17"/>
  <c r="H984" i="17"/>
  <c r="D982" i="17"/>
  <c r="C982" i="17"/>
  <c r="G704" i="22"/>
  <c r="R703" i="22"/>
  <c r="G703" i="22"/>
  <c r="E703" i="22"/>
  <c r="C703" i="22"/>
  <c r="O702" i="22"/>
  <c r="O701" i="22"/>
  <c r="R701" i="22"/>
  <c r="G701" i="22"/>
  <c r="O700" i="22"/>
  <c r="R700" i="22"/>
  <c r="R699" i="22"/>
  <c r="P699" i="22"/>
  <c r="O699" i="22"/>
  <c r="P698" i="22"/>
  <c r="O698" i="22"/>
  <c r="M698" i="22"/>
  <c r="L698" i="22"/>
  <c r="P697" i="22"/>
  <c r="O697" i="22"/>
  <c r="M697" i="22"/>
  <c r="L697" i="22"/>
  <c r="R697" i="22"/>
  <c r="P696" i="22"/>
  <c r="O696" i="22"/>
  <c r="M696" i="22"/>
  <c r="L696" i="22"/>
  <c r="P695" i="22"/>
  <c r="O695" i="22"/>
  <c r="M695" i="22"/>
  <c r="L695" i="22"/>
  <c r="C695" i="22"/>
  <c r="E695" i="22" s="1"/>
  <c r="G694" i="22"/>
  <c r="R693" i="22"/>
  <c r="P693" i="22"/>
  <c r="O693" i="22"/>
  <c r="M693" i="22"/>
  <c r="L693" i="22"/>
  <c r="C693" i="22"/>
  <c r="G693" i="22" s="1"/>
  <c r="R692" i="22"/>
  <c r="P692" i="22"/>
  <c r="O692" i="22"/>
  <c r="M692" i="22"/>
  <c r="L692" i="22"/>
  <c r="G690" i="22"/>
  <c r="E690" i="22"/>
  <c r="L688" i="22"/>
  <c r="O687" i="22"/>
  <c r="R686" i="22"/>
  <c r="P686" i="22"/>
  <c r="O686" i="22"/>
  <c r="M686" i="22"/>
  <c r="L686" i="22"/>
  <c r="R685" i="22"/>
  <c r="P685" i="22"/>
  <c r="R684" i="22"/>
  <c r="P683" i="22"/>
  <c r="O683" i="22"/>
  <c r="M683" i="22"/>
  <c r="L683" i="22"/>
  <c r="R682" i="22"/>
  <c r="R681" i="22"/>
  <c r="R680" i="22"/>
  <c r="P680" i="22"/>
  <c r="O680" i="22"/>
  <c r="M680" i="22"/>
  <c r="L680" i="22"/>
  <c r="R679" i="22"/>
  <c r="P679" i="22"/>
  <c r="P676" i="22"/>
  <c r="O676" i="22"/>
  <c r="M676" i="22"/>
  <c r="L676" i="22"/>
  <c r="L687" i="22" s="1"/>
  <c r="R675" i="22"/>
  <c r="P675" i="22"/>
  <c r="O675" i="22"/>
  <c r="M675" i="22"/>
  <c r="L675" i="22"/>
  <c r="R672" i="22"/>
  <c r="P672" i="22"/>
  <c r="P671" i="22"/>
  <c r="O671" i="22"/>
  <c r="L671" i="22"/>
  <c r="R671" i="22"/>
  <c r="G652" i="22"/>
  <c r="R651" i="22"/>
  <c r="G651" i="22"/>
  <c r="E651" i="22"/>
  <c r="C651" i="22"/>
  <c r="O650" i="22"/>
  <c r="J650" i="22"/>
  <c r="R650" i="22"/>
  <c r="G650" i="22"/>
  <c r="O649" i="22"/>
  <c r="J649" i="22"/>
  <c r="R649" i="22"/>
  <c r="G649" i="22"/>
  <c r="O648" i="22"/>
  <c r="J648" i="22"/>
  <c r="R648" i="22"/>
  <c r="R647" i="22"/>
  <c r="P647" i="22"/>
  <c r="O647" i="22"/>
  <c r="P646" i="22"/>
  <c r="O646" i="22"/>
  <c r="M646" i="22"/>
  <c r="L646" i="22"/>
  <c r="K646" i="22"/>
  <c r="J646" i="22"/>
  <c r="R646" i="22" s="1"/>
  <c r="P645" i="22"/>
  <c r="O645" i="22"/>
  <c r="M645" i="22"/>
  <c r="L645" i="22"/>
  <c r="K645" i="22"/>
  <c r="J645" i="22"/>
  <c r="R645" i="22" s="1"/>
  <c r="P644" i="22"/>
  <c r="O644" i="22"/>
  <c r="M644" i="22"/>
  <c r="L644" i="22"/>
  <c r="K644" i="22"/>
  <c r="J644" i="22"/>
  <c r="R644" i="22" s="1"/>
  <c r="P643" i="22"/>
  <c r="O643" i="22"/>
  <c r="M643" i="22"/>
  <c r="L643" i="22"/>
  <c r="K643" i="22"/>
  <c r="J643" i="22"/>
  <c r="R643" i="22" s="1"/>
  <c r="C643" i="22"/>
  <c r="G642" i="22"/>
  <c r="R641" i="22"/>
  <c r="P641" i="22"/>
  <c r="O641" i="22"/>
  <c r="M641" i="22"/>
  <c r="L641" i="22"/>
  <c r="C641" i="22"/>
  <c r="E641" i="22" s="1"/>
  <c r="R640" i="22"/>
  <c r="P640" i="22"/>
  <c r="O640" i="22"/>
  <c r="M640" i="22"/>
  <c r="L640" i="22"/>
  <c r="L639" i="22"/>
  <c r="K639" i="22"/>
  <c r="J639" i="22"/>
  <c r="R639" i="22" s="1"/>
  <c r="O638" i="22"/>
  <c r="K638" i="22"/>
  <c r="J638" i="22"/>
  <c r="R638" i="22" s="1"/>
  <c r="R637" i="22"/>
  <c r="P637" i="22"/>
  <c r="O637" i="22"/>
  <c r="M637" i="22"/>
  <c r="L637" i="22"/>
  <c r="R636" i="22"/>
  <c r="P636" i="22"/>
  <c r="R635" i="22"/>
  <c r="P634" i="22"/>
  <c r="O634" i="22"/>
  <c r="M634" i="22"/>
  <c r="L634" i="22"/>
  <c r="R633" i="22"/>
  <c r="R632" i="22"/>
  <c r="R631" i="22"/>
  <c r="P631" i="22"/>
  <c r="O631" i="22"/>
  <c r="M631" i="22"/>
  <c r="L631" i="22"/>
  <c r="R630" i="22"/>
  <c r="P630" i="22"/>
  <c r="P627" i="22"/>
  <c r="O627" i="22"/>
  <c r="M627" i="22"/>
  <c r="L627" i="22"/>
  <c r="K627" i="22"/>
  <c r="J627" i="22"/>
  <c r="R627" i="22" s="1"/>
  <c r="R626" i="22"/>
  <c r="P626" i="22"/>
  <c r="O626" i="22"/>
  <c r="M626" i="22"/>
  <c r="L626" i="22"/>
  <c r="R623" i="22"/>
  <c r="P623" i="22"/>
  <c r="P622" i="22"/>
  <c r="O622" i="22"/>
  <c r="L622" i="22"/>
  <c r="J622" i="22"/>
  <c r="G603" i="22"/>
  <c r="R602" i="22"/>
  <c r="G602" i="22"/>
  <c r="E602" i="22"/>
  <c r="C602" i="22"/>
  <c r="P601" i="22"/>
  <c r="O601" i="22"/>
  <c r="J601" i="22"/>
  <c r="R601" i="22" s="1"/>
  <c r="G601" i="22"/>
  <c r="E601" i="22"/>
  <c r="C601" i="22"/>
  <c r="P600" i="22"/>
  <c r="O600" i="22"/>
  <c r="J600" i="22"/>
  <c r="R600" i="22" s="1"/>
  <c r="G600" i="22"/>
  <c r="P599" i="22"/>
  <c r="O599" i="22"/>
  <c r="J599" i="22"/>
  <c r="R599" i="22" s="1"/>
  <c r="R598" i="22"/>
  <c r="P598" i="22"/>
  <c r="O598" i="22"/>
  <c r="P597" i="22"/>
  <c r="O597" i="22"/>
  <c r="M597" i="22"/>
  <c r="L597" i="22"/>
  <c r="K597" i="22"/>
  <c r="J597" i="22"/>
  <c r="R597" i="22" s="1"/>
  <c r="P596" i="22"/>
  <c r="O596" i="22"/>
  <c r="M596" i="22"/>
  <c r="L596" i="22"/>
  <c r="K596" i="22"/>
  <c r="J596" i="22"/>
  <c r="R596" i="22" s="1"/>
  <c r="P595" i="22"/>
  <c r="O595" i="22"/>
  <c r="M595" i="22"/>
  <c r="L595" i="22"/>
  <c r="K595" i="22"/>
  <c r="J595" i="22"/>
  <c r="R595" i="22" s="1"/>
  <c r="P594" i="22"/>
  <c r="O594" i="22"/>
  <c r="M594" i="22"/>
  <c r="L594" i="22"/>
  <c r="K594" i="22"/>
  <c r="J594" i="22"/>
  <c r="R594" i="22" s="1"/>
  <c r="C594" i="22"/>
  <c r="E594" i="22" s="1"/>
  <c r="G593" i="22"/>
  <c r="R592" i="22"/>
  <c r="P592" i="22"/>
  <c r="O592" i="22"/>
  <c r="M592" i="22"/>
  <c r="L592" i="22"/>
  <c r="C592" i="22"/>
  <c r="G592" i="22" s="1"/>
  <c r="R591" i="22"/>
  <c r="P591" i="22"/>
  <c r="O591" i="22"/>
  <c r="M591" i="22"/>
  <c r="L591" i="22"/>
  <c r="P590" i="22"/>
  <c r="L590" i="22"/>
  <c r="K590" i="22"/>
  <c r="J590" i="22"/>
  <c r="R590" i="22" s="1"/>
  <c r="P589" i="22"/>
  <c r="O589" i="22"/>
  <c r="K589" i="22"/>
  <c r="J589" i="22"/>
  <c r="R589" i="22" s="1"/>
  <c r="R588" i="22"/>
  <c r="P588" i="22"/>
  <c r="O588" i="22"/>
  <c r="M588" i="22"/>
  <c r="L588" i="22"/>
  <c r="R587" i="22"/>
  <c r="P587" i="22"/>
  <c r="R586" i="22"/>
  <c r="P585" i="22"/>
  <c r="O585" i="22"/>
  <c r="M585" i="22"/>
  <c r="L585" i="22"/>
  <c r="R584" i="22"/>
  <c r="R582" i="22"/>
  <c r="P582" i="22"/>
  <c r="O582" i="22"/>
  <c r="M582" i="22"/>
  <c r="L582" i="22"/>
  <c r="R581" i="22"/>
  <c r="P581" i="22"/>
  <c r="P578" i="22"/>
  <c r="O578" i="22"/>
  <c r="M578" i="22"/>
  <c r="L578" i="22"/>
  <c r="K578" i="22"/>
  <c r="J578" i="22"/>
  <c r="R578" i="22" s="1"/>
  <c r="R577" i="22"/>
  <c r="P577" i="22"/>
  <c r="O577" i="22"/>
  <c r="M577" i="22"/>
  <c r="L577" i="22"/>
  <c r="L589" i="22" s="1"/>
  <c r="L599" i="22" s="1"/>
  <c r="R574" i="22"/>
  <c r="P574" i="22"/>
  <c r="P573" i="22"/>
  <c r="O573" i="22"/>
  <c r="L573" i="22"/>
  <c r="J573" i="22"/>
  <c r="R573" i="22" s="1"/>
  <c r="G555" i="22"/>
  <c r="G554" i="22"/>
  <c r="E554" i="22"/>
  <c r="C554" i="22"/>
  <c r="G553" i="22"/>
  <c r="E553" i="22"/>
  <c r="C553" i="22"/>
  <c r="G552" i="22"/>
  <c r="P550" i="22"/>
  <c r="O550" i="22"/>
  <c r="J550" i="22"/>
  <c r="K550" i="22" s="1"/>
  <c r="P549" i="22"/>
  <c r="O549" i="22"/>
  <c r="J549" i="22"/>
  <c r="P548" i="22"/>
  <c r="O548" i="22"/>
  <c r="J548" i="22"/>
  <c r="P547" i="22"/>
  <c r="O547" i="22"/>
  <c r="P546" i="22"/>
  <c r="O546" i="22"/>
  <c r="M546" i="22"/>
  <c r="L546" i="22"/>
  <c r="K546" i="22"/>
  <c r="J546" i="22"/>
  <c r="C546" i="22"/>
  <c r="E546" i="22" s="1"/>
  <c r="P545" i="22"/>
  <c r="O545" i="22"/>
  <c r="M545" i="22"/>
  <c r="L545" i="22"/>
  <c r="K545" i="22"/>
  <c r="J545" i="22"/>
  <c r="G545" i="22"/>
  <c r="P544" i="22"/>
  <c r="O544" i="22"/>
  <c r="M544" i="22"/>
  <c r="L544" i="22"/>
  <c r="K544" i="22"/>
  <c r="J544" i="22"/>
  <c r="C544" i="22"/>
  <c r="E544" i="22" s="1"/>
  <c r="P543" i="22"/>
  <c r="O543" i="22"/>
  <c r="M543" i="22"/>
  <c r="L543" i="22"/>
  <c r="K543" i="22"/>
  <c r="J543" i="22"/>
  <c r="R543" i="22" s="1"/>
  <c r="P541" i="22"/>
  <c r="O541" i="22"/>
  <c r="M541" i="22"/>
  <c r="L541" i="22"/>
  <c r="P540" i="22"/>
  <c r="O540" i="22"/>
  <c r="M540" i="22"/>
  <c r="L540" i="22"/>
  <c r="P539" i="22"/>
  <c r="L539" i="22"/>
  <c r="K539" i="22"/>
  <c r="J539" i="22"/>
  <c r="R539" i="22" s="1"/>
  <c r="P538" i="22"/>
  <c r="O538" i="22"/>
  <c r="K538" i="22"/>
  <c r="J538" i="22"/>
  <c r="R537" i="22"/>
  <c r="P537" i="22"/>
  <c r="O537" i="22"/>
  <c r="M537" i="22"/>
  <c r="L537" i="22"/>
  <c r="R536" i="22"/>
  <c r="P536" i="22"/>
  <c r="P534" i="22"/>
  <c r="O534" i="22"/>
  <c r="M534" i="22"/>
  <c r="L534" i="22"/>
  <c r="R533" i="22"/>
  <c r="P531" i="22"/>
  <c r="O531" i="22"/>
  <c r="M531" i="22"/>
  <c r="L531" i="22"/>
  <c r="P530" i="22"/>
  <c r="P527" i="22"/>
  <c r="O527" i="22"/>
  <c r="M527" i="22"/>
  <c r="L527" i="22"/>
  <c r="K527" i="22"/>
  <c r="J527" i="22"/>
  <c r="P526" i="22"/>
  <c r="O526" i="22"/>
  <c r="M526" i="22"/>
  <c r="L526" i="22"/>
  <c r="P523" i="22"/>
  <c r="P522" i="22"/>
  <c r="O522" i="22"/>
  <c r="L522" i="22"/>
  <c r="J522" i="22"/>
  <c r="M522" i="22" s="1"/>
  <c r="R521" i="22"/>
  <c r="R551" i="22" s="1"/>
  <c r="G506" i="22"/>
  <c r="G505" i="22"/>
  <c r="E505" i="22"/>
  <c r="C505" i="22"/>
  <c r="G504" i="22"/>
  <c r="E504" i="22"/>
  <c r="C504" i="22"/>
  <c r="G503" i="22"/>
  <c r="R502" i="22"/>
  <c r="S502" i="22" s="1"/>
  <c r="P501" i="22"/>
  <c r="O501" i="22"/>
  <c r="J501" i="22"/>
  <c r="R501" i="22" s="1"/>
  <c r="P500" i="22"/>
  <c r="O500" i="22"/>
  <c r="J500" i="22"/>
  <c r="P499" i="22"/>
  <c r="O499" i="22"/>
  <c r="J499" i="22"/>
  <c r="R498" i="22"/>
  <c r="P498" i="22"/>
  <c r="O498" i="22"/>
  <c r="P497" i="22"/>
  <c r="O497" i="22"/>
  <c r="M497" i="22"/>
  <c r="L497" i="22"/>
  <c r="K497" i="22"/>
  <c r="J497" i="22"/>
  <c r="R497" i="22" s="1"/>
  <c r="C497" i="22"/>
  <c r="P496" i="22"/>
  <c r="O496" i="22"/>
  <c r="M496" i="22"/>
  <c r="L496" i="22"/>
  <c r="K496" i="22"/>
  <c r="J496" i="22"/>
  <c r="R496" i="22" s="1"/>
  <c r="G496" i="22"/>
  <c r="P495" i="22"/>
  <c r="O495" i="22"/>
  <c r="M495" i="22"/>
  <c r="L495" i="22"/>
  <c r="K495" i="22"/>
  <c r="J495" i="22"/>
  <c r="R495" i="22" s="1"/>
  <c r="C495" i="22"/>
  <c r="S494" i="22"/>
  <c r="S493" i="22"/>
  <c r="K493" i="22"/>
  <c r="J493" i="22"/>
  <c r="G493" i="22"/>
  <c r="E493" i="22"/>
  <c r="P492" i="22"/>
  <c r="O492" i="22"/>
  <c r="M492" i="22"/>
  <c r="L492" i="22"/>
  <c r="K492" i="22"/>
  <c r="J492" i="22"/>
  <c r="R492" i="22" s="1"/>
  <c r="G492" i="22"/>
  <c r="E492" i="22"/>
  <c r="P491" i="22"/>
  <c r="O491" i="22"/>
  <c r="L491" i="22"/>
  <c r="K491" i="22"/>
  <c r="J491" i="22"/>
  <c r="R491" i="22" s="1"/>
  <c r="P490" i="22"/>
  <c r="L490" i="22"/>
  <c r="K490" i="22"/>
  <c r="J490" i="22"/>
  <c r="R490" i="22" s="1"/>
  <c r="P489" i="22"/>
  <c r="O489" i="22"/>
  <c r="K489" i="22"/>
  <c r="J489" i="22"/>
  <c r="R489" i="22" s="1"/>
  <c r="R488" i="22"/>
  <c r="P488" i="22"/>
  <c r="O488" i="22"/>
  <c r="M488" i="22"/>
  <c r="L488" i="22"/>
  <c r="R487" i="22"/>
  <c r="P487" i="22"/>
  <c r="R486" i="22"/>
  <c r="P485" i="22"/>
  <c r="S485" i="22" s="1"/>
  <c r="O485" i="22"/>
  <c r="M485" i="22"/>
  <c r="L485" i="22"/>
  <c r="R484" i="22"/>
  <c r="S484" i="22" s="1"/>
  <c r="R482" i="22"/>
  <c r="P482" i="22"/>
  <c r="O482" i="22"/>
  <c r="M482" i="22"/>
  <c r="L482" i="22"/>
  <c r="R481" i="22"/>
  <c r="P481" i="22"/>
  <c r="R478" i="22"/>
  <c r="P478" i="22"/>
  <c r="O478" i="22"/>
  <c r="M478" i="22"/>
  <c r="L478" i="22"/>
  <c r="R477" i="22"/>
  <c r="P477" i="22"/>
  <c r="O477" i="22"/>
  <c r="M477" i="22"/>
  <c r="L477" i="22"/>
  <c r="R474" i="22"/>
  <c r="P474" i="22"/>
  <c r="P473" i="22"/>
  <c r="O473" i="22"/>
  <c r="L473" i="22"/>
  <c r="J473" i="22"/>
  <c r="R473" i="22" s="1"/>
  <c r="G457" i="22"/>
  <c r="R456" i="22"/>
  <c r="P456" i="22"/>
  <c r="G456" i="22"/>
  <c r="E456" i="22"/>
  <c r="C456" i="22"/>
  <c r="R455" i="22"/>
  <c r="P455" i="22"/>
  <c r="E455" i="22"/>
  <c r="C455" i="22"/>
  <c r="G454" i="22"/>
  <c r="R453" i="22"/>
  <c r="P452" i="22"/>
  <c r="O452" i="22"/>
  <c r="J452" i="22"/>
  <c r="R452" i="22" s="1"/>
  <c r="P451" i="22"/>
  <c r="O451" i="22"/>
  <c r="J451" i="22"/>
  <c r="R451" i="22" s="1"/>
  <c r="P450" i="22"/>
  <c r="O450" i="22"/>
  <c r="J450" i="22"/>
  <c r="R450" i="22" s="1"/>
  <c r="R449" i="22"/>
  <c r="P449" i="22"/>
  <c r="O449" i="22"/>
  <c r="M449" i="22"/>
  <c r="L449" i="22"/>
  <c r="P448" i="22"/>
  <c r="O448" i="22"/>
  <c r="M448" i="22"/>
  <c r="L448" i="22"/>
  <c r="K448" i="22"/>
  <c r="J448" i="22"/>
  <c r="R448" i="22" s="1"/>
  <c r="C448" i="22"/>
  <c r="P447" i="22"/>
  <c r="O447" i="22"/>
  <c r="M447" i="22"/>
  <c r="L447" i="22"/>
  <c r="K447" i="22"/>
  <c r="J447" i="22"/>
  <c r="R447" i="22" s="1"/>
  <c r="G447" i="22"/>
  <c r="P446" i="22"/>
  <c r="O446" i="22"/>
  <c r="M446" i="22"/>
  <c r="L446" i="22"/>
  <c r="K446" i="22"/>
  <c r="J446" i="22"/>
  <c r="R446" i="22" s="1"/>
  <c r="C446" i="22"/>
  <c r="G446" i="22" s="1"/>
  <c r="P445" i="22"/>
  <c r="O445" i="22"/>
  <c r="L445" i="22"/>
  <c r="K445" i="22"/>
  <c r="J445" i="22"/>
  <c r="M445" i="22" s="1"/>
  <c r="P444" i="22"/>
  <c r="M444" i="22"/>
  <c r="L444" i="22"/>
  <c r="K444" i="22"/>
  <c r="J444" i="22"/>
  <c r="R444" i="22" s="1"/>
  <c r="P443" i="22"/>
  <c r="P454" i="22" s="1"/>
  <c r="O443" i="22"/>
  <c r="K443" i="22"/>
  <c r="J443" i="22"/>
  <c r="R443" i="22" s="1"/>
  <c r="R442" i="22"/>
  <c r="P442" i="22"/>
  <c r="O442" i="22"/>
  <c r="M442" i="22"/>
  <c r="L442" i="22"/>
  <c r="R441" i="22"/>
  <c r="R440" i="22"/>
  <c r="P439" i="22"/>
  <c r="O439" i="22"/>
  <c r="M439" i="22"/>
  <c r="L439" i="22"/>
  <c r="R438" i="22"/>
  <c r="R436" i="22"/>
  <c r="P436" i="22"/>
  <c r="O436" i="22"/>
  <c r="M436" i="22"/>
  <c r="L436" i="22"/>
  <c r="R435" i="22"/>
  <c r="P435" i="22"/>
  <c r="R432" i="22"/>
  <c r="P432" i="22"/>
  <c r="O432" i="22"/>
  <c r="M432" i="22"/>
  <c r="L432" i="22"/>
  <c r="R431" i="22"/>
  <c r="P431" i="22"/>
  <c r="O431" i="22"/>
  <c r="M431" i="22"/>
  <c r="L431" i="22"/>
  <c r="L443" i="22" s="1"/>
  <c r="L450" i="22" s="1"/>
  <c r="R428" i="22"/>
  <c r="P428" i="22"/>
  <c r="P427" i="22"/>
  <c r="O427" i="22"/>
  <c r="L427" i="22"/>
  <c r="J427" i="22"/>
  <c r="G411" i="22"/>
  <c r="G410" i="22"/>
  <c r="E410" i="22"/>
  <c r="C410" i="22"/>
  <c r="E409" i="22"/>
  <c r="C409" i="22"/>
  <c r="G408" i="22"/>
  <c r="O407" i="22"/>
  <c r="P406" i="22"/>
  <c r="O406" i="22"/>
  <c r="J406" i="22"/>
  <c r="K406" i="22" s="1"/>
  <c r="P405" i="22"/>
  <c r="O405" i="22"/>
  <c r="J405" i="22"/>
  <c r="K405" i="22" s="1"/>
  <c r="P404" i="22"/>
  <c r="O404" i="22"/>
  <c r="J404" i="22"/>
  <c r="R404" i="22" s="1"/>
  <c r="R403" i="22"/>
  <c r="O403" i="22"/>
  <c r="M403" i="22"/>
  <c r="L403" i="22"/>
  <c r="P402" i="22"/>
  <c r="O402" i="22"/>
  <c r="M402" i="22"/>
  <c r="L402" i="22"/>
  <c r="K402" i="22"/>
  <c r="J402" i="22"/>
  <c r="R402" i="22" s="1"/>
  <c r="C402" i="22"/>
  <c r="P401" i="22"/>
  <c r="O401" i="22"/>
  <c r="M401" i="22"/>
  <c r="L401" i="22"/>
  <c r="K401" i="22"/>
  <c r="J401" i="22"/>
  <c r="R401" i="22" s="1"/>
  <c r="G401" i="22"/>
  <c r="P400" i="22"/>
  <c r="O400" i="22"/>
  <c r="M400" i="22"/>
  <c r="L400" i="22"/>
  <c r="K400" i="22"/>
  <c r="J400" i="22"/>
  <c r="R400" i="22" s="1"/>
  <c r="C400" i="22"/>
  <c r="P399" i="22"/>
  <c r="O399" i="22"/>
  <c r="L399" i="22"/>
  <c r="K399" i="22"/>
  <c r="J399" i="22"/>
  <c r="R399" i="22" s="1"/>
  <c r="P398" i="22"/>
  <c r="L398" i="22"/>
  <c r="K398" i="22"/>
  <c r="J398" i="22"/>
  <c r="R398" i="22" s="1"/>
  <c r="P397" i="22"/>
  <c r="O397" i="22"/>
  <c r="K397" i="22"/>
  <c r="J397" i="22"/>
  <c r="R397" i="22" s="1"/>
  <c r="P396" i="22"/>
  <c r="O396" i="22"/>
  <c r="M396" i="22"/>
  <c r="L396" i="22"/>
  <c r="R395" i="22"/>
  <c r="R393" i="22"/>
  <c r="P393" i="22"/>
  <c r="O393" i="22"/>
  <c r="M393" i="22"/>
  <c r="L393" i="22"/>
  <c r="R392" i="22"/>
  <c r="R390" i="22"/>
  <c r="P390" i="22"/>
  <c r="O390" i="22"/>
  <c r="M390" i="22"/>
  <c r="L390" i="22"/>
  <c r="R386" i="22"/>
  <c r="P386" i="22"/>
  <c r="O386" i="22"/>
  <c r="M386" i="22"/>
  <c r="L386" i="22"/>
  <c r="R385" i="22"/>
  <c r="P385" i="22"/>
  <c r="O385" i="22"/>
  <c r="M385" i="22"/>
  <c r="L385" i="22"/>
  <c r="L397" i="22" s="1"/>
  <c r="R382" i="22"/>
  <c r="P382" i="22"/>
  <c r="O382" i="22"/>
  <c r="M382" i="22"/>
  <c r="L382" i="22"/>
  <c r="R378" i="22"/>
  <c r="P378" i="22"/>
  <c r="O378" i="22"/>
  <c r="M378" i="22"/>
  <c r="L378" i="22"/>
  <c r="P377" i="22"/>
  <c r="O377" i="22"/>
  <c r="M377" i="22"/>
  <c r="L377" i="22"/>
  <c r="J377" i="22"/>
  <c r="K377" i="22" s="1"/>
  <c r="G361" i="22"/>
  <c r="G360" i="22"/>
  <c r="E360" i="22"/>
  <c r="C360" i="22"/>
  <c r="Z358" i="22"/>
  <c r="G358" i="22"/>
  <c r="U357" i="22"/>
  <c r="P357" i="22"/>
  <c r="O357" i="22"/>
  <c r="Z357" i="22" s="1"/>
  <c r="P356" i="22"/>
  <c r="O356" i="22"/>
  <c r="Z356" i="22" s="1"/>
  <c r="J356" i="22"/>
  <c r="P355" i="22"/>
  <c r="O355" i="22"/>
  <c r="Z355" i="22" s="1"/>
  <c r="J355" i="22"/>
  <c r="S355" i="22" s="1"/>
  <c r="P354" i="22"/>
  <c r="O354" i="22"/>
  <c r="J354" i="22"/>
  <c r="Y353" i="22"/>
  <c r="U353" i="22"/>
  <c r="T353" i="22"/>
  <c r="S353" i="22"/>
  <c r="R353" i="22"/>
  <c r="P353" i="22"/>
  <c r="O353" i="22"/>
  <c r="M353" i="22"/>
  <c r="L353" i="22"/>
  <c r="P352" i="22"/>
  <c r="O352" i="22"/>
  <c r="M352" i="22"/>
  <c r="L352" i="22"/>
  <c r="K352" i="22"/>
  <c r="Y352" i="22" s="1"/>
  <c r="J352" i="22"/>
  <c r="S352" i="22" s="1"/>
  <c r="C352" i="22"/>
  <c r="G352" i="22" s="1"/>
  <c r="P351" i="22"/>
  <c r="O351" i="22"/>
  <c r="M351" i="22"/>
  <c r="L351" i="22"/>
  <c r="K351" i="22"/>
  <c r="Y351" i="22" s="1"/>
  <c r="J351" i="22"/>
  <c r="U351" i="22" s="1"/>
  <c r="G351" i="22"/>
  <c r="P350" i="22"/>
  <c r="O350" i="22"/>
  <c r="M350" i="22"/>
  <c r="L350" i="22"/>
  <c r="K350" i="22"/>
  <c r="J350" i="22"/>
  <c r="S350" i="22" s="1"/>
  <c r="C350" i="22"/>
  <c r="G350" i="22" s="1"/>
  <c r="P349" i="22"/>
  <c r="O349" i="22"/>
  <c r="L349" i="22"/>
  <c r="K349" i="22"/>
  <c r="Y349" i="22" s="1"/>
  <c r="J349" i="22"/>
  <c r="P348" i="22"/>
  <c r="L348" i="22"/>
  <c r="K348" i="22"/>
  <c r="Y348" i="22" s="1"/>
  <c r="J348" i="22"/>
  <c r="T348" i="22" s="1"/>
  <c r="G348" i="22"/>
  <c r="E348" i="22"/>
  <c r="P347" i="22"/>
  <c r="O347" i="22"/>
  <c r="K347" i="22"/>
  <c r="Y347" i="22" s="1"/>
  <c r="J347" i="22"/>
  <c r="P346" i="22"/>
  <c r="O346" i="22"/>
  <c r="M346" i="22"/>
  <c r="L346" i="22"/>
  <c r="W345" i="22"/>
  <c r="X345" i="22" s="1"/>
  <c r="S345" i="22"/>
  <c r="T345" i="22" s="1"/>
  <c r="R345" i="22"/>
  <c r="Y343" i="22"/>
  <c r="U343" i="22"/>
  <c r="T343" i="22"/>
  <c r="S343" i="22"/>
  <c r="R343" i="22"/>
  <c r="P343" i="22"/>
  <c r="O343" i="22"/>
  <c r="M343" i="22"/>
  <c r="L343" i="22"/>
  <c r="W342" i="22"/>
  <c r="X342" i="22" s="1"/>
  <c r="S342" i="22"/>
  <c r="T342" i="22" s="1"/>
  <c r="R342" i="22"/>
  <c r="Y340" i="22"/>
  <c r="U340" i="22"/>
  <c r="T340" i="22"/>
  <c r="S340" i="22"/>
  <c r="R340" i="22"/>
  <c r="P340" i="22"/>
  <c r="O340" i="22"/>
  <c r="M340" i="22"/>
  <c r="L340" i="22"/>
  <c r="Y336" i="22"/>
  <c r="U336" i="22"/>
  <c r="T336" i="22"/>
  <c r="S336" i="22"/>
  <c r="R336" i="22"/>
  <c r="P336" i="22"/>
  <c r="O336" i="22"/>
  <c r="M336" i="22"/>
  <c r="L336" i="22"/>
  <c r="Y335" i="22"/>
  <c r="U335" i="22"/>
  <c r="T335" i="22"/>
  <c r="S335" i="22"/>
  <c r="R335" i="22"/>
  <c r="P335" i="22"/>
  <c r="O335" i="22"/>
  <c r="M335" i="22"/>
  <c r="L335" i="22"/>
  <c r="Y332" i="22"/>
  <c r="U332" i="22"/>
  <c r="T332" i="22"/>
  <c r="S332" i="22"/>
  <c r="R332" i="22"/>
  <c r="P332" i="22"/>
  <c r="O332" i="22"/>
  <c r="M332" i="22"/>
  <c r="L332" i="22"/>
  <c r="Y328" i="22"/>
  <c r="U328" i="22"/>
  <c r="T328" i="22"/>
  <c r="S328" i="22"/>
  <c r="R328" i="22"/>
  <c r="P328" i="22"/>
  <c r="O328" i="22"/>
  <c r="M328" i="22"/>
  <c r="L328" i="22"/>
  <c r="P327" i="22"/>
  <c r="O327" i="22"/>
  <c r="M327" i="22"/>
  <c r="L327" i="22"/>
  <c r="J327" i="22"/>
  <c r="X326" i="22"/>
  <c r="W326" i="22"/>
  <c r="Z324" i="22"/>
  <c r="Y324" i="22"/>
  <c r="Y339" i="22" s="1"/>
  <c r="X324" i="22"/>
  <c r="W324" i="22"/>
  <c r="G311" i="22"/>
  <c r="G310" i="22"/>
  <c r="E310" i="22"/>
  <c r="C310" i="22"/>
  <c r="Z308" i="22"/>
  <c r="G308" i="22"/>
  <c r="U307" i="22"/>
  <c r="P307" i="22"/>
  <c r="O307" i="22"/>
  <c r="Z307" i="22" s="1"/>
  <c r="P306" i="22"/>
  <c r="O306" i="22"/>
  <c r="Y306" i="22" s="1"/>
  <c r="J306" i="22"/>
  <c r="P305" i="22"/>
  <c r="O305" i="22"/>
  <c r="J305" i="22"/>
  <c r="U305" i="22" s="1"/>
  <c r="P304" i="22"/>
  <c r="O304" i="22"/>
  <c r="Y304" i="22" s="1"/>
  <c r="J304" i="22"/>
  <c r="Y303" i="22"/>
  <c r="U303" i="22"/>
  <c r="T303" i="22"/>
  <c r="S303" i="22"/>
  <c r="R303" i="22"/>
  <c r="P303" i="22"/>
  <c r="O303" i="22"/>
  <c r="M303" i="22"/>
  <c r="L303" i="22"/>
  <c r="P302" i="22"/>
  <c r="O302" i="22"/>
  <c r="M302" i="22"/>
  <c r="L302" i="22"/>
  <c r="K302" i="22"/>
  <c r="J302" i="22"/>
  <c r="U302" i="22" s="1"/>
  <c r="C302" i="22"/>
  <c r="P301" i="22"/>
  <c r="O301" i="22"/>
  <c r="M301" i="22"/>
  <c r="L301" i="22"/>
  <c r="K301" i="22"/>
  <c r="J301" i="22"/>
  <c r="G301" i="22"/>
  <c r="P300" i="22"/>
  <c r="O300" i="22"/>
  <c r="M300" i="22"/>
  <c r="L300" i="22"/>
  <c r="K300" i="22"/>
  <c r="Y300" i="22" s="1"/>
  <c r="J300" i="22"/>
  <c r="S300" i="22" s="1"/>
  <c r="C300" i="22"/>
  <c r="P299" i="22"/>
  <c r="O299" i="22"/>
  <c r="L299" i="22"/>
  <c r="K299" i="22"/>
  <c r="J299" i="22"/>
  <c r="S299" i="22" s="1"/>
  <c r="P298" i="22"/>
  <c r="L298" i="22"/>
  <c r="K298" i="22"/>
  <c r="Y298" i="22" s="1"/>
  <c r="J298" i="22"/>
  <c r="R298" i="22" s="1"/>
  <c r="P297" i="22"/>
  <c r="O297" i="22"/>
  <c r="K297" i="22"/>
  <c r="J297" i="22"/>
  <c r="S297" i="22" s="1"/>
  <c r="P296" i="22"/>
  <c r="O296" i="22"/>
  <c r="M296" i="22"/>
  <c r="L296" i="22"/>
  <c r="W295" i="22"/>
  <c r="X295" i="22" s="1"/>
  <c r="S295" i="22"/>
  <c r="R295" i="22"/>
  <c r="Y293" i="22"/>
  <c r="U293" i="22"/>
  <c r="T293" i="22"/>
  <c r="S293" i="22"/>
  <c r="R293" i="22"/>
  <c r="P293" i="22"/>
  <c r="O293" i="22"/>
  <c r="M293" i="22"/>
  <c r="L293" i="22"/>
  <c r="W292" i="22"/>
  <c r="X292" i="22" s="1"/>
  <c r="S292" i="22"/>
  <c r="R292" i="22"/>
  <c r="Y290" i="22"/>
  <c r="U290" i="22"/>
  <c r="T290" i="22"/>
  <c r="S290" i="22"/>
  <c r="R290" i="22"/>
  <c r="P290" i="22"/>
  <c r="O290" i="22"/>
  <c r="M290" i="22"/>
  <c r="L290" i="22"/>
  <c r="Y286" i="22"/>
  <c r="U286" i="22"/>
  <c r="T286" i="22"/>
  <c r="S286" i="22"/>
  <c r="R286" i="22"/>
  <c r="P286" i="22"/>
  <c r="O286" i="22"/>
  <c r="M286" i="22"/>
  <c r="L286" i="22"/>
  <c r="Y285" i="22"/>
  <c r="U285" i="22"/>
  <c r="T285" i="22"/>
  <c r="S285" i="22"/>
  <c r="R285" i="22"/>
  <c r="P285" i="22"/>
  <c r="O285" i="22"/>
  <c r="M285" i="22"/>
  <c r="L285" i="22"/>
  <c r="Y282" i="22"/>
  <c r="U282" i="22"/>
  <c r="T282" i="22"/>
  <c r="S282" i="22"/>
  <c r="R282" i="22"/>
  <c r="P282" i="22"/>
  <c r="O282" i="22"/>
  <c r="M282" i="22"/>
  <c r="L282" i="22"/>
  <c r="C282" i="22"/>
  <c r="Y278" i="22"/>
  <c r="U278" i="22"/>
  <c r="T278" i="22"/>
  <c r="S278" i="22"/>
  <c r="R278" i="22"/>
  <c r="P278" i="22"/>
  <c r="O278" i="22"/>
  <c r="M278" i="22"/>
  <c r="L278" i="22"/>
  <c r="P277" i="22"/>
  <c r="O277" i="22"/>
  <c r="M277" i="22"/>
  <c r="L277" i="22"/>
  <c r="J277" i="22"/>
  <c r="X276" i="22"/>
  <c r="W276" i="22"/>
  <c r="Z274" i="22"/>
  <c r="Y274" i="22"/>
  <c r="Y289" i="22" s="1"/>
  <c r="X274" i="22"/>
  <c r="W274" i="22"/>
  <c r="W289" i="22" s="1"/>
  <c r="K264" i="22"/>
  <c r="J264" i="22"/>
  <c r="T262" i="22" s="1"/>
  <c r="K263" i="22"/>
  <c r="S261" i="22" s="1"/>
  <c r="J263" i="22"/>
  <c r="T261" i="22" s="1"/>
  <c r="P262" i="22"/>
  <c r="O262" i="22"/>
  <c r="K262" i="22"/>
  <c r="S260" i="22" s="1"/>
  <c r="J262" i="22"/>
  <c r="U260" i="22" s="1"/>
  <c r="P261" i="22"/>
  <c r="O261" i="22"/>
  <c r="P260" i="22"/>
  <c r="O260" i="22"/>
  <c r="I260" i="22"/>
  <c r="G260" i="22"/>
  <c r="E260" i="22"/>
  <c r="C260" i="22"/>
  <c r="P258" i="22"/>
  <c r="O258" i="22"/>
  <c r="M258" i="22"/>
  <c r="L258" i="22"/>
  <c r="K258" i="22"/>
  <c r="J258" i="22"/>
  <c r="G258" i="22"/>
  <c r="P257" i="22"/>
  <c r="O257" i="22"/>
  <c r="M257" i="22"/>
  <c r="L257" i="22"/>
  <c r="K257" i="22"/>
  <c r="J257" i="22"/>
  <c r="C257" i="22"/>
  <c r="E257" i="22" s="1"/>
  <c r="P256" i="22"/>
  <c r="O256" i="22"/>
  <c r="M256" i="22"/>
  <c r="L256" i="22"/>
  <c r="K256" i="22"/>
  <c r="J256" i="22"/>
  <c r="T256" i="22" s="1"/>
  <c r="G256" i="22"/>
  <c r="P255" i="22"/>
  <c r="O255" i="22"/>
  <c r="M255" i="22"/>
  <c r="L255" i="22"/>
  <c r="K255" i="22"/>
  <c r="J255" i="22"/>
  <c r="C255" i="22"/>
  <c r="E255" i="22" s="1"/>
  <c r="P253" i="22"/>
  <c r="M253" i="22"/>
  <c r="L253" i="22"/>
  <c r="K253" i="22"/>
  <c r="R253" i="22" s="1"/>
  <c r="J253" i="22"/>
  <c r="P252" i="22"/>
  <c r="O252" i="22"/>
  <c r="K252" i="22"/>
  <c r="J252" i="22"/>
  <c r="P251" i="22"/>
  <c r="O251" i="22"/>
  <c r="M251" i="22"/>
  <c r="L251" i="22"/>
  <c r="W250" i="22"/>
  <c r="Y250" i="22" s="1"/>
  <c r="S250" i="22"/>
  <c r="T250" i="22" s="1"/>
  <c r="R250" i="22"/>
  <c r="U248" i="22"/>
  <c r="T248" i="22"/>
  <c r="S248" i="22"/>
  <c r="R248" i="22"/>
  <c r="P248" i="22"/>
  <c r="O248" i="22"/>
  <c r="M248" i="22"/>
  <c r="L248" i="22"/>
  <c r="W247" i="22"/>
  <c r="S247" i="22"/>
  <c r="T247" i="22" s="1"/>
  <c r="R247" i="22"/>
  <c r="U245" i="22"/>
  <c r="T245" i="22"/>
  <c r="S245" i="22"/>
  <c r="R245" i="22"/>
  <c r="P245" i="22"/>
  <c r="O245" i="22"/>
  <c r="M245" i="22"/>
  <c r="L245" i="22"/>
  <c r="U241" i="22"/>
  <c r="T241" i="22"/>
  <c r="S241" i="22"/>
  <c r="R241" i="22"/>
  <c r="P241" i="22"/>
  <c r="O241" i="22"/>
  <c r="M241" i="22"/>
  <c r="L241" i="22"/>
  <c r="U240" i="22"/>
  <c r="T240" i="22"/>
  <c r="S240" i="22"/>
  <c r="R240" i="22"/>
  <c r="P240" i="22"/>
  <c r="O240" i="22"/>
  <c r="M240" i="22"/>
  <c r="L240" i="22"/>
  <c r="U237" i="22"/>
  <c r="T237" i="22"/>
  <c r="S237" i="22"/>
  <c r="R237" i="22"/>
  <c r="P237" i="22"/>
  <c r="O237" i="22"/>
  <c r="M237" i="22"/>
  <c r="L237" i="22"/>
  <c r="U233" i="22"/>
  <c r="T233" i="22"/>
  <c r="S233" i="22"/>
  <c r="R233" i="22"/>
  <c r="P233" i="22"/>
  <c r="O233" i="22"/>
  <c r="M233" i="22"/>
  <c r="L233" i="22"/>
  <c r="U232" i="22"/>
  <c r="T232" i="22"/>
  <c r="S232" i="22"/>
  <c r="R232" i="22"/>
  <c r="P232" i="22"/>
  <c r="O232" i="22"/>
  <c r="M232" i="22"/>
  <c r="L232" i="22"/>
  <c r="Y231" i="22"/>
  <c r="X231" i="22"/>
  <c r="W231" i="22"/>
  <c r="Y229" i="22"/>
  <c r="X229" i="22"/>
  <c r="X244" i="22" s="1"/>
  <c r="W229" i="22"/>
  <c r="K219" i="22"/>
  <c r="J219" i="22"/>
  <c r="K218" i="22"/>
  <c r="S216" i="22" s="1"/>
  <c r="J218" i="22"/>
  <c r="U216" i="22" s="1"/>
  <c r="P217" i="22"/>
  <c r="O217" i="22"/>
  <c r="K217" i="22"/>
  <c r="S215" i="22" s="1"/>
  <c r="J217" i="22"/>
  <c r="R216" i="22"/>
  <c r="P216" i="22"/>
  <c r="O216" i="22"/>
  <c r="P215" i="22"/>
  <c r="O215" i="22"/>
  <c r="I215" i="22"/>
  <c r="G215" i="22"/>
  <c r="E215" i="22"/>
  <c r="C215" i="22"/>
  <c r="P213" i="22"/>
  <c r="O213" i="22"/>
  <c r="M213" i="22"/>
  <c r="L213" i="22"/>
  <c r="K213" i="22"/>
  <c r="J213" i="22"/>
  <c r="T213" i="22" s="1"/>
  <c r="G213" i="22"/>
  <c r="P212" i="22"/>
  <c r="O212" i="22"/>
  <c r="M212" i="22"/>
  <c r="L212" i="22"/>
  <c r="K212" i="22"/>
  <c r="J212" i="22"/>
  <c r="T212" i="22" s="1"/>
  <c r="C212" i="22"/>
  <c r="E212" i="22" s="1"/>
  <c r="P211" i="22"/>
  <c r="O211" i="22"/>
  <c r="M211" i="22"/>
  <c r="L211" i="22"/>
  <c r="K211" i="22"/>
  <c r="Y211" i="22" s="1"/>
  <c r="J211" i="22"/>
  <c r="G211" i="22"/>
  <c r="P210" i="22"/>
  <c r="O210" i="22"/>
  <c r="M210" i="22"/>
  <c r="L210" i="22"/>
  <c r="K210" i="22"/>
  <c r="J210" i="22"/>
  <c r="C210" i="22"/>
  <c r="E210" i="22" s="1"/>
  <c r="P208" i="22"/>
  <c r="M208" i="22"/>
  <c r="K208" i="22"/>
  <c r="R208" i="22" s="1"/>
  <c r="J208" i="22"/>
  <c r="U208" i="22" s="1"/>
  <c r="P207" i="22"/>
  <c r="O207" i="22"/>
  <c r="K207" i="22"/>
  <c r="Y207" i="22" s="1"/>
  <c r="J207" i="22"/>
  <c r="S207" i="22" s="1"/>
  <c r="S218" i="22" s="1"/>
  <c r="P206" i="22"/>
  <c r="O206" i="22"/>
  <c r="M206" i="22"/>
  <c r="L206" i="22"/>
  <c r="W205" i="22"/>
  <c r="Y205" i="22" s="1"/>
  <c r="S205" i="22"/>
  <c r="T205" i="22" s="1"/>
  <c r="R205" i="22"/>
  <c r="U203" i="22"/>
  <c r="T203" i="22"/>
  <c r="S203" i="22"/>
  <c r="R203" i="22"/>
  <c r="P203" i="22"/>
  <c r="O203" i="22"/>
  <c r="M203" i="22"/>
  <c r="L203" i="22"/>
  <c r="W202" i="22"/>
  <c r="S202" i="22"/>
  <c r="T202" i="22" s="1"/>
  <c r="R202" i="22"/>
  <c r="U200" i="22"/>
  <c r="T200" i="22"/>
  <c r="S200" i="22"/>
  <c r="R200" i="22"/>
  <c r="P200" i="22"/>
  <c r="O200" i="22"/>
  <c r="M200" i="22"/>
  <c r="L200" i="22"/>
  <c r="U196" i="22"/>
  <c r="T196" i="22"/>
  <c r="S196" i="22"/>
  <c r="R196" i="22"/>
  <c r="P196" i="22"/>
  <c r="O196" i="22"/>
  <c r="M196" i="22"/>
  <c r="L196" i="22"/>
  <c r="U195" i="22"/>
  <c r="T195" i="22"/>
  <c r="S195" i="22"/>
  <c r="R195" i="22"/>
  <c r="P195" i="22"/>
  <c r="O195" i="22"/>
  <c r="M195" i="22"/>
  <c r="L195" i="22"/>
  <c r="U192" i="22"/>
  <c r="T192" i="22"/>
  <c r="S192" i="22"/>
  <c r="R192" i="22"/>
  <c r="P192" i="22"/>
  <c r="O192" i="22"/>
  <c r="O218" i="22" s="1"/>
  <c r="M192" i="22"/>
  <c r="L192" i="22"/>
  <c r="U188" i="22"/>
  <c r="T188" i="22"/>
  <c r="S188" i="22"/>
  <c r="R188" i="22"/>
  <c r="P188" i="22"/>
  <c r="O188" i="22"/>
  <c r="M188" i="22"/>
  <c r="L188" i="22"/>
  <c r="P187" i="22"/>
  <c r="O187" i="22"/>
  <c r="M187" i="22"/>
  <c r="L187" i="22"/>
  <c r="K187" i="22"/>
  <c r="Y187" i="22" s="1"/>
  <c r="J187" i="22"/>
  <c r="Y186" i="22"/>
  <c r="X186" i="22"/>
  <c r="W186" i="22"/>
  <c r="Y184" i="22"/>
  <c r="Y199" i="22" s="1"/>
  <c r="X184" i="22"/>
  <c r="X199" i="22" s="1"/>
  <c r="W184" i="22"/>
  <c r="W199" i="22" s="1"/>
  <c r="U172" i="22"/>
  <c r="T172" i="22"/>
  <c r="S172" i="22"/>
  <c r="R172" i="22"/>
  <c r="P172" i="22"/>
  <c r="O172" i="22"/>
  <c r="U171" i="22"/>
  <c r="T171" i="22"/>
  <c r="S171" i="22"/>
  <c r="R171" i="22"/>
  <c r="P171" i="22"/>
  <c r="O171" i="22"/>
  <c r="U170" i="22"/>
  <c r="T170" i="22"/>
  <c r="S170" i="22"/>
  <c r="R170" i="22"/>
  <c r="P170" i="22"/>
  <c r="O170" i="22"/>
  <c r="I170" i="22"/>
  <c r="G170" i="22"/>
  <c r="E170" i="22"/>
  <c r="C170" i="22"/>
  <c r="U168" i="22"/>
  <c r="T168" i="22"/>
  <c r="S168" i="22"/>
  <c r="R168" i="22"/>
  <c r="P168" i="22"/>
  <c r="O168" i="22"/>
  <c r="M168" i="22"/>
  <c r="L168" i="22"/>
  <c r="G168" i="22"/>
  <c r="U167" i="22"/>
  <c r="T167" i="22"/>
  <c r="S167" i="22"/>
  <c r="R167" i="22"/>
  <c r="P167" i="22"/>
  <c r="O167" i="22"/>
  <c r="M167" i="22"/>
  <c r="L167" i="22"/>
  <c r="G167" i="22"/>
  <c r="E167" i="22"/>
  <c r="U166" i="22"/>
  <c r="T166" i="22"/>
  <c r="S166" i="22"/>
  <c r="R166" i="22"/>
  <c r="P166" i="22"/>
  <c r="O166" i="22"/>
  <c r="M166" i="22"/>
  <c r="L166" i="22"/>
  <c r="G166" i="22"/>
  <c r="U165" i="22"/>
  <c r="T165" i="22"/>
  <c r="S165" i="22"/>
  <c r="R165" i="22"/>
  <c r="P165" i="22"/>
  <c r="O165" i="22"/>
  <c r="M165" i="22"/>
  <c r="L165" i="22"/>
  <c r="C165" i="22"/>
  <c r="E165" i="22" s="1"/>
  <c r="U163" i="22"/>
  <c r="T163" i="22"/>
  <c r="S163" i="22"/>
  <c r="R163" i="22"/>
  <c r="P163" i="22"/>
  <c r="U162" i="22"/>
  <c r="T162" i="22"/>
  <c r="S162" i="22"/>
  <c r="R162" i="22"/>
  <c r="P162" i="22"/>
  <c r="P161" i="22"/>
  <c r="O161" i="22"/>
  <c r="M161" i="22"/>
  <c r="L161" i="22"/>
  <c r="W160" i="22"/>
  <c r="S160" i="22"/>
  <c r="U160" i="22" s="1"/>
  <c r="R160" i="22"/>
  <c r="U158" i="22"/>
  <c r="T158" i="22"/>
  <c r="S158" i="22"/>
  <c r="R158" i="22"/>
  <c r="P158" i="22"/>
  <c r="O158" i="22"/>
  <c r="M158" i="22"/>
  <c r="L158" i="22"/>
  <c r="W157" i="22"/>
  <c r="X157" i="22" s="1"/>
  <c r="S157" i="22"/>
  <c r="U157" i="22" s="1"/>
  <c r="R157" i="22"/>
  <c r="U155" i="22"/>
  <c r="T155" i="22"/>
  <c r="S155" i="22"/>
  <c r="R155" i="22"/>
  <c r="P155" i="22"/>
  <c r="O155" i="22"/>
  <c r="M155" i="22"/>
  <c r="L155" i="22"/>
  <c r="U151" i="22"/>
  <c r="T151" i="22"/>
  <c r="S151" i="22"/>
  <c r="R151" i="22"/>
  <c r="P151" i="22"/>
  <c r="O151" i="22"/>
  <c r="M151" i="22"/>
  <c r="L151" i="22"/>
  <c r="U150" i="22"/>
  <c r="T150" i="22"/>
  <c r="S150" i="22"/>
  <c r="R150" i="22"/>
  <c r="P150" i="22"/>
  <c r="O150" i="22"/>
  <c r="M150" i="22"/>
  <c r="L150" i="22"/>
  <c r="U147" i="22"/>
  <c r="T147" i="22"/>
  <c r="S147" i="22"/>
  <c r="R147" i="22"/>
  <c r="P147" i="22"/>
  <c r="O147" i="22"/>
  <c r="M147" i="22"/>
  <c r="L147" i="22"/>
  <c r="U143" i="22"/>
  <c r="T143" i="22"/>
  <c r="S143" i="22"/>
  <c r="R143" i="22"/>
  <c r="P143" i="22"/>
  <c r="O143" i="22"/>
  <c r="M143" i="22"/>
  <c r="L143" i="22"/>
  <c r="U142" i="22"/>
  <c r="T142" i="22"/>
  <c r="S142" i="22"/>
  <c r="R142" i="22"/>
  <c r="P142" i="22"/>
  <c r="O142" i="22"/>
  <c r="M142" i="22"/>
  <c r="L142" i="22"/>
  <c r="Y141" i="22"/>
  <c r="X141" i="22"/>
  <c r="W141" i="22"/>
  <c r="Y139" i="22"/>
  <c r="Y154" i="22" s="1"/>
  <c r="X139" i="22"/>
  <c r="X154" i="22" s="1"/>
  <c r="W139" i="22"/>
  <c r="W154" i="22" s="1"/>
  <c r="U127" i="22"/>
  <c r="T127" i="22"/>
  <c r="S127" i="22"/>
  <c r="R127" i="22"/>
  <c r="P127" i="22"/>
  <c r="O127" i="22"/>
  <c r="U126" i="22"/>
  <c r="T126" i="22"/>
  <c r="S126" i="22"/>
  <c r="R126" i="22"/>
  <c r="P126" i="22"/>
  <c r="O126" i="22"/>
  <c r="U125" i="22"/>
  <c r="T125" i="22"/>
  <c r="S125" i="22"/>
  <c r="R125" i="22"/>
  <c r="P125" i="22"/>
  <c r="O125" i="22"/>
  <c r="I125" i="22"/>
  <c r="G125" i="22"/>
  <c r="E125" i="22"/>
  <c r="C125" i="22"/>
  <c r="C124" i="22"/>
  <c r="U123" i="22"/>
  <c r="T123" i="22"/>
  <c r="S123" i="22"/>
  <c r="R123" i="22"/>
  <c r="P123" i="22"/>
  <c r="O123" i="22"/>
  <c r="M123" i="22"/>
  <c r="L123" i="22"/>
  <c r="G123" i="22"/>
  <c r="P122" i="22"/>
  <c r="U121" i="22"/>
  <c r="T121" i="22"/>
  <c r="S121" i="22"/>
  <c r="R121" i="22"/>
  <c r="P121" i="22"/>
  <c r="O121" i="22"/>
  <c r="M121" i="22"/>
  <c r="L121" i="22"/>
  <c r="G121" i="22"/>
  <c r="U120" i="22"/>
  <c r="T120" i="22"/>
  <c r="S120" i="22"/>
  <c r="R120" i="22"/>
  <c r="P120" i="22"/>
  <c r="O120" i="22"/>
  <c r="M120" i="22"/>
  <c r="L120" i="22"/>
  <c r="U118" i="22"/>
  <c r="T118" i="22"/>
  <c r="S118" i="22"/>
  <c r="R118" i="22"/>
  <c r="P118" i="22"/>
  <c r="L118" i="22"/>
  <c r="U117" i="22"/>
  <c r="T117" i="22"/>
  <c r="S117" i="22"/>
  <c r="R117" i="22"/>
  <c r="P117" i="22"/>
  <c r="O117" i="22"/>
  <c r="P116" i="22"/>
  <c r="O116" i="22"/>
  <c r="M116" i="22"/>
  <c r="L116" i="22"/>
  <c r="W115" i="22"/>
  <c r="X115" i="22" s="1"/>
  <c r="S115" i="22"/>
  <c r="R115" i="22"/>
  <c r="U113" i="22"/>
  <c r="T113" i="22"/>
  <c r="S113" i="22"/>
  <c r="R113" i="22"/>
  <c r="P113" i="22"/>
  <c r="O113" i="22"/>
  <c r="M113" i="22"/>
  <c r="L113" i="22"/>
  <c r="W112" i="22"/>
  <c r="X112" i="22" s="1"/>
  <c r="S112" i="22"/>
  <c r="R112" i="22"/>
  <c r="U110" i="22"/>
  <c r="T110" i="22"/>
  <c r="S110" i="22"/>
  <c r="R110" i="22"/>
  <c r="P110" i="22"/>
  <c r="O110" i="22"/>
  <c r="M110" i="22"/>
  <c r="L110" i="22"/>
  <c r="U106" i="22"/>
  <c r="T106" i="22"/>
  <c r="S106" i="22"/>
  <c r="R106" i="22"/>
  <c r="P106" i="22"/>
  <c r="O106" i="22"/>
  <c r="M106" i="22"/>
  <c r="L106" i="22"/>
  <c r="U105" i="22"/>
  <c r="T105" i="22"/>
  <c r="S105" i="22"/>
  <c r="R105" i="22"/>
  <c r="P105" i="22"/>
  <c r="O105" i="22"/>
  <c r="M105" i="22"/>
  <c r="L105" i="22"/>
  <c r="U102" i="22"/>
  <c r="T102" i="22"/>
  <c r="S102" i="22"/>
  <c r="R102" i="22"/>
  <c r="P102" i="22"/>
  <c r="O102" i="22"/>
  <c r="M102" i="22"/>
  <c r="L102" i="22"/>
  <c r="U98" i="22"/>
  <c r="T98" i="22"/>
  <c r="S98" i="22"/>
  <c r="R98" i="22"/>
  <c r="P98" i="22"/>
  <c r="O98" i="22"/>
  <c r="M98" i="22"/>
  <c r="L98" i="22"/>
  <c r="U97" i="22"/>
  <c r="T97" i="22"/>
  <c r="S97" i="22"/>
  <c r="R97" i="22"/>
  <c r="P97" i="22"/>
  <c r="O97" i="22"/>
  <c r="M97" i="22"/>
  <c r="L97" i="22"/>
  <c r="Y96" i="22"/>
  <c r="X96" i="22"/>
  <c r="X126" i="22" s="1"/>
  <c r="W96" i="22"/>
  <c r="Y94" i="22"/>
  <c r="X94" i="22"/>
  <c r="W94" i="22"/>
  <c r="W104" i="22" s="1"/>
  <c r="U82" i="22"/>
  <c r="T82" i="22"/>
  <c r="S82" i="22"/>
  <c r="R82" i="22"/>
  <c r="P82" i="22"/>
  <c r="O82" i="22"/>
  <c r="U81" i="22"/>
  <c r="T81" i="22"/>
  <c r="S81" i="22"/>
  <c r="R81" i="22"/>
  <c r="P81" i="22"/>
  <c r="O81" i="22"/>
  <c r="U80" i="22"/>
  <c r="T80" i="22"/>
  <c r="S80" i="22"/>
  <c r="R80" i="22"/>
  <c r="P80" i="22"/>
  <c r="O80" i="22"/>
  <c r="I80" i="22"/>
  <c r="G80" i="22"/>
  <c r="E80" i="22"/>
  <c r="C80" i="22"/>
  <c r="C79" i="22"/>
  <c r="U78" i="22"/>
  <c r="T78" i="22"/>
  <c r="S78" i="22"/>
  <c r="R78" i="22"/>
  <c r="P78" i="22"/>
  <c r="O78" i="22"/>
  <c r="M78" i="22"/>
  <c r="L78" i="22"/>
  <c r="G78" i="22"/>
  <c r="U77" i="22"/>
  <c r="T77" i="22"/>
  <c r="S77" i="22"/>
  <c r="R77" i="22"/>
  <c r="P77" i="22"/>
  <c r="O77" i="22"/>
  <c r="M77" i="22"/>
  <c r="L77" i="22"/>
  <c r="G77" i="22"/>
  <c r="U76" i="22"/>
  <c r="T76" i="22"/>
  <c r="S76" i="22"/>
  <c r="R76" i="22"/>
  <c r="P76" i="22"/>
  <c r="O76" i="22"/>
  <c r="M76" i="22"/>
  <c r="L76" i="22"/>
  <c r="G76" i="22"/>
  <c r="U74" i="22"/>
  <c r="T74" i="22"/>
  <c r="S74" i="22"/>
  <c r="R74" i="22"/>
  <c r="P74" i="22"/>
  <c r="L74" i="22"/>
  <c r="U73" i="22"/>
  <c r="T73" i="22"/>
  <c r="S73" i="22"/>
  <c r="R73" i="22"/>
  <c r="P73" i="22"/>
  <c r="O73" i="22"/>
  <c r="P72" i="22"/>
  <c r="O72" i="22"/>
  <c r="M72" i="22"/>
  <c r="L72" i="22"/>
  <c r="W71" i="22"/>
  <c r="X71" i="22" s="1"/>
  <c r="S71" i="22"/>
  <c r="U71" i="22" s="1"/>
  <c r="R71" i="22"/>
  <c r="U69" i="22"/>
  <c r="T69" i="22"/>
  <c r="S69" i="22"/>
  <c r="R69" i="22"/>
  <c r="P69" i="22"/>
  <c r="O69" i="22"/>
  <c r="M69" i="22"/>
  <c r="L69" i="22"/>
  <c r="W68" i="22"/>
  <c r="X68" i="22" s="1"/>
  <c r="S68" i="22"/>
  <c r="U68" i="22" s="1"/>
  <c r="R68" i="22"/>
  <c r="U66" i="22"/>
  <c r="T66" i="22"/>
  <c r="S66" i="22"/>
  <c r="R66" i="22"/>
  <c r="P66" i="22"/>
  <c r="O66" i="22"/>
  <c r="M66" i="22"/>
  <c r="L66" i="22"/>
  <c r="U62" i="22"/>
  <c r="T62" i="22"/>
  <c r="S62" i="22"/>
  <c r="R62" i="22"/>
  <c r="P62" i="22"/>
  <c r="O62" i="22"/>
  <c r="M62" i="22"/>
  <c r="L62" i="22"/>
  <c r="U61" i="22"/>
  <c r="T61" i="22"/>
  <c r="S61" i="22"/>
  <c r="R61" i="22"/>
  <c r="P61" i="22"/>
  <c r="O61" i="22"/>
  <c r="M61" i="22"/>
  <c r="L61" i="22"/>
  <c r="U58" i="22"/>
  <c r="T58" i="22"/>
  <c r="S58" i="22"/>
  <c r="S83" i="22" s="1"/>
  <c r="R58" i="22"/>
  <c r="P58" i="22"/>
  <c r="O58" i="22"/>
  <c r="M58" i="22"/>
  <c r="L58" i="22"/>
  <c r="U54" i="22"/>
  <c r="T54" i="22"/>
  <c r="S54" i="22"/>
  <c r="R54" i="22"/>
  <c r="P54" i="22"/>
  <c r="O54" i="22"/>
  <c r="M54" i="22"/>
  <c r="L54" i="22"/>
  <c r="U53" i="22"/>
  <c r="T53" i="22"/>
  <c r="S53" i="22"/>
  <c r="S79" i="22" s="1"/>
  <c r="S84" i="22" s="1"/>
  <c r="R53" i="22"/>
  <c r="P53" i="22"/>
  <c r="O53" i="22"/>
  <c r="M53" i="22"/>
  <c r="L53" i="22"/>
  <c r="Y52" i="22"/>
  <c r="Y78" i="22" s="1"/>
  <c r="X52" i="22"/>
  <c r="W52" i="22"/>
  <c r="W66" i="22" s="1"/>
  <c r="Y50" i="22"/>
  <c r="Y60" i="22" s="1"/>
  <c r="X50" i="22"/>
  <c r="X65" i="22" s="1"/>
  <c r="W50" i="22"/>
  <c r="W60" i="22" s="1"/>
  <c r="U38" i="22"/>
  <c r="T38" i="22"/>
  <c r="S38" i="22"/>
  <c r="R38" i="22"/>
  <c r="P38" i="22"/>
  <c r="O38" i="22"/>
  <c r="U37" i="22"/>
  <c r="T37" i="22"/>
  <c r="S37" i="22"/>
  <c r="R37" i="22"/>
  <c r="P37" i="22"/>
  <c r="O37" i="22"/>
  <c r="U36" i="22"/>
  <c r="T36" i="22"/>
  <c r="S36" i="22"/>
  <c r="R36" i="22"/>
  <c r="P36" i="22"/>
  <c r="O36" i="22"/>
  <c r="I36" i="22"/>
  <c r="G36" i="22"/>
  <c r="E36" i="22"/>
  <c r="C36" i="22"/>
  <c r="G35" i="22"/>
  <c r="K36" i="22" s="1"/>
  <c r="E35" i="22"/>
  <c r="J36" i="22" s="1"/>
  <c r="C35" i="22"/>
  <c r="U34" i="22"/>
  <c r="T34" i="22"/>
  <c r="S34" i="22"/>
  <c r="R34" i="22"/>
  <c r="P34" i="22"/>
  <c r="O34" i="22"/>
  <c r="M34" i="22"/>
  <c r="L34" i="22"/>
  <c r="G34" i="22"/>
  <c r="U33" i="22"/>
  <c r="T33" i="22"/>
  <c r="S33" i="22"/>
  <c r="R33" i="22"/>
  <c r="P33" i="22"/>
  <c r="O33" i="22"/>
  <c r="M33" i="22"/>
  <c r="L33" i="22"/>
  <c r="G33" i="22"/>
  <c r="U32" i="22"/>
  <c r="T32" i="22"/>
  <c r="S32" i="22"/>
  <c r="R32" i="22"/>
  <c r="P32" i="22"/>
  <c r="O32" i="22"/>
  <c r="M32" i="22"/>
  <c r="L32" i="22"/>
  <c r="G32" i="22"/>
  <c r="U30" i="22"/>
  <c r="T30" i="22"/>
  <c r="S30" i="22"/>
  <c r="R30" i="22"/>
  <c r="P30" i="22"/>
  <c r="L30" i="22"/>
  <c r="U29" i="22"/>
  <c r="T29" i="22"/>
  <c r="S29" i="22"/>
  <c r="R29" i="22"/>
  <c r="P29" i="22"/>
  <c r="O29" i="22"/>
  <c r="P28" i="22"/>
  <c r="O28" i="22"/>
  <c r="M28" i="22"/>
  <c r="L28" i="22"/>
  <c r="L29" i="22" s="1"/>
  <c r="Y27" i="22"/>
  <c r="X27" i="22"/>
  <c r="W27" i="22"/>
  <c r="U27" i="22"/>
  <c r="T27" i="22"/>
  <c r="S27" i="22"/>
  <c r="R27" i="22"/>
  <c r="U25" i="22"/>
  <c r="T25" i="22"/>
  <c r="S25" i="22"/>
  <c r="R25" i="22"/>
  <c r="P25" i="22"/>
  <c r="O25" i="22"/>
  <c r="M25" i="22"/>
  <c r="L25" i="22"/>
  <c r="Y24" i="22"/>
  <c r="X24" i="22"/>
  <c r="W24" i="22"/>
  <c r="U24" i="22"/>
  <c r="T24" i="22"/>
  <c r="S24" i="22"/>
  <c r="R24" i="22"/>
  <c r="U22" i="22"/>
  <c r="T22" i="22"/>
  <c r="S22" i="22"/>
  <c r="R22" i="22"/>
  <c r="P22" i="22"/>
  <c r="O22" i="22"/>
  <c r="M22" i="22"/>
  <c r="L22" i="22"/>
  <c r="U18" i="22"/>
  <c r="T18" i="22"/>
  <c r="S18" i="22"/>
  <c r="R18" i="22"/>
  <c r="P18" i="22"/>
  <c r="O18" i="22"/>
  <c r="M18" i="22"/>
  <c r="L18" i="22"/>
  <c r="U17" i="22"/>
  <c r="T17" i="22"/>
  <c r="S17" i="22"/>
  <c r="R17" i="22"/>
  <c r="P17" i="22"/>
  <c r="O17" i="22"/>
  <c r="M17" i="22"/>
  <c r="L17" i="22"/>
  <c r="U14" i="22"/>
  <c r="T14" i="22"/>
  <c r="S14" i="22"/>
  <c r="R14" i="22"/>
  <c r="P14" i="22"/>
  <c r="O14" i="22"/>
  <c r="M14" i="22"/>
  <c r="L14" i="22"/>
  <c r="U10" i="22"/>
  <c r="T10" i="22"/>
  <c r="S10" i="22"/>
  <c r="R10" i="22"/>
  <c r="P10" i="22"/>
  <c r="O10" i="22"/>
  <c r="M10" i="22"/>
  <c r="L10" i="22"/>
  <c r="U9" i="22"/>
  <c r="T9" i="22"/>
  <c r="S9" i="22"/>
  <c r="S35" i="22" s="1"/>
  <c r="R9" i="22"/>
  <c r="P9" i="22"/>
  <c r="O9" i="22"/>
  <c r="M9" i="22"/>
  <c r="M29" i="22" s="1"/>
  <c r="M35" i="22" s="1"/>
  <c r="L9" i="22"/>
  <c r="Y8" i="22"/>
  <c r="Y34" i="22" s="1"/>
  <c r="X8" i="22"/>
  <c r="W8" i="22"/>
  <c r="Y6" i="22"/>
  <c r="Y16" i="22" s="1"/>
  <c r="X6" i="22"/>
  <c r="X21" i="22" s="1"/>
  <c r="W6" i="22"/>
  <c r="W171" i="22"/>
  <c r="W165" i="22"/>
  <c r="W167" i="22"/>
  <c r="Y166" i="22"/>
  <c r="Y155" i="22"/>
  <c r="L162" i="22"/>
  <c r="L163" i="22" s="1"/>
  <c r="X14" i="22"/>
  <c r="X16" i="22"/>
  <c r="Y21" i="22"/>
  <c r="X22" i="22"/>
  <c r="Y29" i="22"/>
  <c r="X30" i="22"/>
  <c r="Y36" i="22"/>
  <c r="Y37" i="22"/>
  <c r="Y54" i="22"/>
  <c r="X60" i="22"/>
  <c r="Y61" i="22"/>
  <c r="X62" i="22"/>
  <c r="Y65" i="22"/>
  <c r="T68" i="22"/>
  <c r="Y68" i="22"/>
  <c r="T71" i="22"/>
  <c r="Y73" i="22"/>
  <c r="X77" i="22"/>
  <c r="Y80" i="22"/>
  <c r="Y81" i="22"/>
  <c r="X97" i="22"/>
  <c r="X102" i="22"/>
  <c r="Y105" i="22"/>
  <c r="X106" i="22"/>
  <c r="W109" i="22"/>
  <c r="X110" i="22"/>
  <c r="Y112" i="22"/>
  <c r="X113" i="22"/>
  <c r="X118" i="22"/>
  <c r="X123" i="22"/>
  <c r="Y125" i="22"/>
  <c r="W126" i="22"/>
  <c r="X143" i="22"/>
  <c r="W149" i="22"/>
  <c r="Y149" i="22"/>
  <c r="X167" i="22"/>
  <c r="X162" i="22"/>
  <c r="X166" i="22"/>
  <c r="X155" i="22"/>
  <c r="X9" i="22"/>
  <c r="Y10" i="22"/>
  <c r="Y14" i="22"/>
  <c r="X17" i="22"/>
  <c r="Y18" i="22"/>
  <c r="Y22" i="22"/>
  <c r="Y25" i="22"/>
  <c r="X29" i="22"/>
  <c r="Y30" i="22"/>
  <c r="Y32" i="22"/>
  <c r="Y33" i="22"/>
  <c r="X36" i="22"/>
  <c r="Y53" i="22"/>
  <c r="Y58" i="22"/>
  <c r="Y62" i="22"/>
  <c r="Y66" i="22"/>
  <c r="Y69" i="22"/>
  <c r="Y74" i="22"/>
  <c r="Y76" i="22"/>
  <c r="Y77" i="22"/>
  <c r="X98" i="22"/>
  <c r="W102" i="22"/>
  <c r="X105" i="22"/>
  <c r="Y106" i="22"/>
  <c r="X117" i="22"/>
  <c r="Y118" i="22"/>
  <c r="X120" i="22"/>
  <c r="X121" i="22"/>
  <c r="X125" i="22"/>
  <c r="X142" i="22"/>
  <c r="W143" i="22"/>
  <c r="X149" i="22"/>
  <c r="X151" i="22"/>
  <c r="U347" i="22"/>
  <c r="S347" i="22"/>
  <c r="Y157" i="22"/>
  <c r="T160" i="22"/>
  <c r="G165" i="22"/>
  <c r="Y188" i="22"/>
  <c r="X194" i="22"/>
  <c r="Y195" i="22"/>
  <c r="W196" i="22"/>
  <c r="Y196" i="22"/>
  <c r="Y200" i="22"/>
  <c r="U202" i="22"/>
  <c r="W203" i="22"/>
  <c r="Y203" i="22"/>
  <c r="U205" i="22"/>
  <c r="X205" i="22"/>
  <c r="M207" i="22"/>
  <c r="S210" i="22"/>
  <c r="U210" i="22"/>
  <c r="X210" i="22"/>
  <c r="S212" i="22"/>
  <c r="U212" i="22"/>
  <c r="S213" i="22"/>
  <c r="U213" i="22"/>
  <c r="Y215" i="22"/>
  <c r="W216" i="22"/>
  <c r="Y216" i="22"/>
  <c r="Y233" i="22"/>
  <c r="X239" i="22"/>
  <c r="W240" i="22"/>
  <c r="Y240" i="22"/>
  <c r="Y241" i="22"/>
  <c r="W245" i="22"/>
  <c r="Y245" i="22"/>
  <c r="Y248" i="22"/>
  <c r="X252" i="22"/>
  <c r="S253" i="22"/>
  <c r="S256" i="22"/>
  <c r="U256" i="22"/>
  <c r="U257" i="22"/>
  <c r="X258" i="22"/>
  <c r="R262" i="22"/>
  <c r="W282" i="22"/>
  <c r="W284" i="22"/>
  <c r="L297" i="22"/>
  <c r="L304" i="22" s="1"/>
  <c r="R297" i="22"/>
  <c r="S298" i="22"/>
  <c r="R299" i="22"/>
  <c r="R300" i="22"/>
  <c r="W300" i="22"/>
  <c r="R302" i="22"/>
  <c r="K304" i="22"/>
  <c r="Z304" i="22"/>
  <c r="R305" i="22"/>
  <c r="S306" i="22"/>
  <c r="L347" i="22"/>
  <c r="T347" i="22"/>
  <c r="S491" i="22"/>
  <c r="S356" i="22"/>
  <c r="K356" i="22"/>
  <c r="W192" i="22"/>
  <c r="Y192" i="22"/>
  <c r="W194" i="22"/>
  <c r="X200" i="22"/>
  <c r="W208" i="22"/>
  <c r="Y208" i="22"/>
  <c r="Y210" i="22"/>
  <c r="W211" i="22"/>
  <c r="R212" i="22"/>
  <c r="R213" i="22"/>
  <c r="X215" i="22"/>
  <c r="Y232" i="22"/>
  <c r="X233" i="22"/>
  <c r="W237" i="22"/>
  <c r="Y237" i="22"/>
  <c r="X240" i="22"/>
  <c r="X241" i="22"/>
  <c r="W252" i="22"/>
  <c r="Y252" i="22"/>
  <c r="Y253" i="22"/>
  <c r="W255" i="22"/>
  <c r="Y255" i="22"/>
  <c r="R256" i="22"/>
  <c r="Y257" i="22"/>
  <c r="W278" i="22"/>
  <c r="W285" i="22"/>
  <c r="W286" i="22"/>
  <c r="W290" i="22"/>
  <c r="W293" i="22"/>
  <c r="W298" i="22"/>
  <c r="W303" i="22"/>
  <c r="W304" i="22"/>
  <c r="Y334" i="22"/>
  <c r="R347" i="22"/>
  <c r="T356" i="22"/>
  <c r="Y356" i="22"/>
  <c r="S495" i="22"/>
  <c r="X332" i="22"/>
  <c r="S348" i="22"/>
  <c r="R350" i="22"/>
  <c r="R351" i="22"/>
  <c r="R352" i="22"/>
  <c r="R355" i="22"/>
  <c r="R377" i="22"/>
  <c r="M399" i="22"/>
  <c r="K404" i="22"/>
  <c r="R445" i="22"/>
  <c r="E446" i="22"/>
  <c r="K450" i="22"/>
  <c r="K452" i="22"/>
  <c r="K473" i="22"/>
  <c r="M473" i="22"/>
  <c r="M489" i="22" s="1"/>
  <c r="M491" i="22"/>
  <c r="K501" i="22"/>
  <c r="R522" i="22"/>
  <c r="S522" i="22" s="1"/>
  <c r="R531" i="22"/>
  <c r="R535" i="22"/>
  <c r="R541" i="22"/>
  <c r="G544" i="22"/>
  <c r="R547" i="22"/>
  <c r="R550" i="22"/>
  <c r="K573" i="22"/>
  <c r="M573" i="22"/>
  <c r="E592" i="22"/>
  <c r="G594" i="22"/>
  <c r="K599" i="22"/>
  <c r="K600" i="22"/>
  <c r="K601" i="22"/>
  <c r="G641" i="22"/>
  <c r="K649" i="22"/>
  <c r="M671" i="22"/>
  <c r="E693" i="22"/>
  <c r="O490" i="22"/>
  <c r="K522" i="22"/>
  <c r="R523" i="22"/>
  <c r="R526" i="22"/>
  <c r="R530" i="22"/>
  <c r="R538" i="22"/>
  <c r="R540" i="22"/>
  <c r="R544" i="22"/>
  <c r="R545" i="22"/>
  <c r="K648" i="22"/>
  <c r="K650" i="22"/>
  <c r="BC316" i="10"/>
  <c r="G913" i="17"/>
  <c r="G912" i="17"/>
  <c r="G911" i="17"/>
  <c r="G910" i="17"/>
  <c r="G909" i="17"/>
  <c r="G908" i="17"/>
  <c r="G907" i="17"/>
  <c r="G906" i="17"/>
  <c r="G905" i="17"/>
  <c r="G904" i="17"/>
  <c r="G903" i="17"/>
  <c r="G902" i="17"/>
  <c r="G901" i="17"/>
  <c r="G900" i="17"/>
  <c r="G899" i="17"/>
  <c r="G898" i="17"/>
  <c r="G897" i="17"/>
  <c r="G896" i="17"/>
  <c r="G895" i="17"/>
  <c r="G894" i="17"/>
  <c r="G893" i="17"/>
  <c r="G892" i="17"/>
  <c r="G891" i="17"/>
  <c r="G890" i="17"/>
  <c r="G889" i="17"/>
  <c r="G888" i="17"/>
  <c r="G887" i="17"/>
  <c r="G886" i="17"/>
  <c r="G885" i="17"/>
  <c r="G884" i="17"/>
  <c r="G883" i="17"/>
  <c r="G882" i="17"/>
  <c r="G881" i="17"/>
  <c r="G880" i="17"/>
  <c r="G879" i="17"/>
  <c r="G878" i="17"/>
  <c r="G877" i="17"/>
  <c r="G876" i="17"/>
  <c r="G875" i="17"/>
  <c r="G874" i="17"/>
  <c r="G873" i="17"/>
  <c r="G872" i="17"/>
  <c r="G871" i="17"/>
  <c r="G870" i="17"/>
  <c r="G869" i="17"/>
  <c r="G868" i="17"/>
  <c r="G867" i="17"/>
  <c r="G866" i="17"/>
  <c r="I865" i="17"/>
  <c r="H865" i="17"/>
  <c r="B965" i="17"/>
  <c r="B964" i="17"/>
  <c r="B963" i="17"/>
  <c r="B962" i="17"/>
  <c r="B961" i="17"/>
  <c r="B960" i="17"/>
  <c r="B959" i="17"/>
  <c r="B958" i="17"/>
  <c r="B957" i="17"/>
  <c r="B956" i="17"/>
  <c r="B955" i="17"/>
  <c r="B954" i="17"/>
  <c r="B953" i="17"/>
  <c r="B952" i="17"/>
  <c r="B951" i="17"/>
  <c r="B950" i="17"/>
  <c r="B949" i="17"/>
  <c r="B948" i="17"/>
  <c r="B947" i="17"/>
  <c r="B946" i="17"/>
  <c r="B945" i="17"/>
  <c r="B944" i="17"/>
  <c r="B943" i="17"/>
  <c r="B942" i="17"/>
  <c r="B941" i="17"/>
  <c r="B940" i="17"/>
  <c r="B939" i="17"/>
  <c r="B938" i="17"/>
  <c r="B937" i="17"/>
  <c r="B936" i="17"/>
  <c r="B935" i="17"/>
  <c r="B934" i="17"/>
  <c r="B933" i="17"/>
  <c r="B932" i="17"/>
  <c r="B931" i="17"/>
  <c r="B930" i="17"/>
  <c r="B929" i="17"/>
  <c r="B928" i="17"/>
  <c r="B927" i="17"/>
  <c r="B926" i="17"/>
  <c r="B925" i="17"/>
  <c r="B924" i="17"/>
  <c r="B923" i="17"/>
  <c r="B922" i="17"/>
  <c r="B921" i="17"/>
  <c r="B920" i="17"/>
  <c r="B919" i="17"/>
  <c r="B918" i="17"/>
  <c r="B917" i="17"/>
  <c r="B916" i="17"/>
  <c r="B915" i="17"/>
  <c r="B914" i="17"/>
  <c r="B913" i="17"/>
  <c r="B912" i="17"/>
  <c r="B911" i="17"/>
  <c r="B910" i="17"/>
  <c r="B909" i="17"/>
  <c r="B908" i="17"/>
  <c r="B907" i="17"/>
  <c r="B906" i="17"/>
  <c r="B905" i="17"/>
  <c r="B904" i="17"/>
  <c r="B903" i="17"/>
  <c r="B902" i="17"/>
  <c r="B901" i="17"/>
  <c r="B900" i="17"/>
  <c r="B899" i="17"/>
  <c r="B898" i="17"/>
  <c r="B897" i="17"/>
  <c r="B896" i="17"/>
  <c r="B895" i="17"/>
  <c r="B894" i="17"/>
  <c r="B893" i="17"/>
  <c r="B892" i="17"/>
  <c r="B891" i="17"/>
  <c r="B890" i="17"/>
  <c r="B889" i="17"/>
  <c r="B888" i="17"/>
  <c r="B887" i="17"/>
  <c r="B886" i="17"/>
  <c r="B885" i="17"/>
  <c r="B884" i="17"/>
  <c r="B883" i="17"/>
  <c r="B882" i="17"/>
  <c r="B881" i="17"/>
  <c r="B880" i="17"/>
  <c r="B879" i="17"/>
  <c r="B878" i="17"/>
  <c r="B877" i="17"/>
  <c r="B876" i="17"/>
  <c r="B875" i="17"/>
  <c r="B874" i="17"/>
  <c r="B873" i="17"/>
  <c r="B872" i="17"/>
  <c r="B871" i="17"/>
  <c r="B870" i="17"/>
  <c r="B869" i="17"/>
  <c r="B868" i="17"/>
  <c r="B867" i="17"/>
  <c r="B866" i="17"/>
  <c r="D863" i="17"/>
  <c r="C863" i="17"/>
  <c r="B846" i="17"/>
  <c r="B845" i="17"/>
  <c r="B844" i="17"/>
  <c r="B843" i="17"/>
  <c r="B842" i="17"/>
  <c r="B841" i="17"/>
  <c r="B840" i="17"/>
  <c r="B839" i="17"/>
  <c r="B838" i="17"/>
  <c r="B837" i="17"/>
  <c r="B836" i="17"/>
  <c r="B835" i="17"/>
  <c r="B834" i="17"/>
  <c r="B833" i="17"/>
  <c r="B832" i="17"/>
  <c r="B831" i="17"/>
  <c r="B830" i="17"/>
  <c r="B829" i="17"/>
  <c r="B828" i="17"/>
  <c r="B827" i="17"/>
  <c r="B826" i="17"/>
  <c r="B825" i="17"/>
  <c r="B824" i="17"/>
  <c r="B823" i="17"/>
  <c r="B822" i="17"/>
  <c r="B821" i="17"/>
  <c r="B820" i="17"/>
  <c r="B819" i="17"/>
  <c r="B818" i="17"/>
  <c r="B817" i="17"/>
  <c r="B816" i="17"/>
  <c r="B815" i="17"/>
  <c r="B814" i="17"/>
  <c r="B813" i="17"/>
  <c r="B812" i="17"/>
  <c r="B811" i="17"/>
  <c r="B810" i="17"/>
  <c r="B809" i="17"/>
  <c r="B808" i="17"/>
  <c r="B807" i="17"/>
  <c r="B806" i="17"/>
  <c r="B805" i="17"/>
  <c r="B804" i="17"/>
  <c r="B803" i="17"/>
  <c r="B802" i="17"/>
  <c r="B801" i="17"/>
  <c r="B800" i="17"/>
  <c r="B799" i="17"/>
  <c r="B798" i="17"/>
  <c r="B797" i="17"/>
  <c r="B796" i="17"/>
  <c r="B795" i="17"/>
  <c r="B794" i="17"/>
  <c r="B793" i="17"/>
  <c r="B792" i="17"/>
  <c r="B791" i="17"/>
  <c r="B790" i="17"/>
  <c r="B789" i="17"/>
  <c r="B788" i="17"/>
  <c r="B787" i="17"/>
  <c r="B786" i="17"/>
  <c r="B785" i="17"/>
  <c r="B784" i="17"/>
  <c r="B783" i="17"/>
  <c r="B782" i="17"/>
  <c r="B781" i="17"/>
  <c r="B780" i="17"/>
  <c r="B779" i="17"/>
  <c r="B778" i="17"/>
  <c r="B777" i="17"/>
  <c r="B776" i="17"/>
  <c r="B775" i="17"/>
  <c r="B774" i="17"/>
  <c r="B773" i="17"/>
  <c r="B772" i="17"/>
  <c r="B771" i="17"/>
  <c r="B770" i="17"/>
  <c r="B769" i="17"/>
  <c r="B768" i="17"/>
  <c r="B767" i="17"/>
  <c r="B766" i="17"/>
  <c r="B765" i="17"/>
  <c r="B764" i="17"/>
  <c r="B763" i="17"/>
  <c r="B762" i="17"/>
  <c r="B761" i="17"/>
  <c r="B760" i="17"/>
  <c r="B759" i="17"/>
  <c r="B758" i="17"/>
  <c r="B757" i="17"/>
  <c r="B756" i="17"/>
  <c r="B755" i="17"/>
  <c r="B754" i="17"/>
  <c r="B753" i="17"/>
  <c r="B752" i="17"/>
  <c r="B751" i="17"/>
  <c r="B750" i="17"/>
  <c r="B749" i="17"/>
  <c r="B748" i="17"/>
  <c r="B747" i="17"/>
  <c r="D741" i="17"/>
  <c r="C741" i="17"/>
  <c r="BA302" i="10"/>
  <c r="AY201" i="10"/>
  <c r="AW201" i="10"/>
  <c r="E39" i="20"/>
  <c r="E20" i="20"/>
  <c r="E45" i="20"/>
  <c r="E47" i="20" s="1"/>
  <c r="E14" i="20"/>
  <c r="C531" i="18"/>
  <c r="C552" i="18"/>
  <c r="G552" i="18" s="1"/>
  <c r="C551" i="18"/>
  <c r="C545" i="18"/>
  <c r="G545" i="18" s="1"/>
  <c r="C542" i="18"/>
  <c r="E542" i="18" s="1"/>
  <c r="C541" i="18"/>
  <c r="E541" i="18" s="1"/>
  <c r="G536" i="18"/>
  <c r="G554" i="18" s="1"/>
  <c r="E536" i="18"/>
  <c r="E554" i="18" s="1"/>
  <c r="C537" i="18"/>
  <c r="C536" i="18"/>
  <c r="C554" i="18" s="1"/>
  <c r="C534" i="18"/>
  <c r="G665" i="17"/>
  <c r="G664" i="17"/>
  <c r="G663" i="17"/>
  <c r="G662" i="17"/>
  <c r="G661" i="17"/>
  <c r="G660" i="17"/>
  <c r="G659" i="17"/>
  <c r="G658" i="17"/>
  <c r="G657" i="17"/>
  <c r="G656" i="17"/>
  <c r="G655" i="17"/>
  <c r="G654" i="17"/>
  <c r="G653" i="17"/>
  <c r="G652" i="17"/>
  <c r="G651" i="17"/>
  <c r="G650" i="17"/>
  <c r="G649" i="17"/>
  <c r="G648" i="17"/>
  <c r="G647" i="17"/>
  <c r="G646" i="17"/>
  <c r="G645" i="17"/>
  <c r="G644" i="17"/>
  <c r="G643" i="17"/>
  <c r="G642" i="17"/>
  <c r="G641" i="17"/>
  <c r="G640" i="17"/>
  <c r="G639" i="17"/>
  <c r="G638" i="17"/>
  <c r="G637" i="17"/>
  <c r="G636" i="17"/>
  <c r="G635" i="17"/>
  <c r="G634" i="17"/>
  <c r="G633" i="17"/>
  <c r="G632" i="17"/>
  <c r="G631" i="17"/>
  <c r="G630" i="17"/>
  <c r="G629" i="17"/>
  <c r="G628" i="17"/>
  <c r="G627" i="17"/>
  <c r="G626" i="17"/>
  <c r="G625" i="17"/>
  <c r="G624" i="17"/>
  <c r="G623" i="17"/>
  <c r="G622" i="17"/>
  <c r="G621" i="17"/>
  <c r="G620" i="17"/>
  <c r="G619" i="17"/>
  <c r="G618" i="17"/>
  <c r="I617" i="17"/>
  <c r="H617" i="17"/>
  <c r="D615" i="17"/>
  <c r="C615" i="17"/>
  <c r="G555" i="18"/>
  <c r="C546" i="18"/>
  <c r="E546" i="18" s="1"/>
  <c r="C544" i="18"/>
  <c r="E544" i="18" s="1"/>
  <c r="E493" i="18"/>
  <c r="C504" i="18"/>
  <c r="G547" i="17"/>
  <c r="G546" i="17"/>
  <c r="G545" i="17"/>
  <c r="G544" i="17"/>
  <c r="G543" i="17"/>
  <c r="G542" i="17"/>
  <c r="G541" i="17"/>
  <c r="G540" i="17"/>
  <c r="G539" i="17"/>
  <c r="G538" i="17"/>
  <c r="G537" i="17"/>
  <c r="G536" i="17"/>
  <c r="G535" i="17"/>
  <c r="G534" i="17"/>
  <c r="G533" i="17"/>
  <c r="G532" i="17"/>
  <c r="G531" i="17"/>
  <c r="G530" i="17"/>
  <c r="G529" i="17"/>
  <c r="G528" i="17"/>
  <c r="G527" i="17"/>
  <c r="G526" i="17"/>
  <c r="G525" i="17"/>
  <c r="G524" i="17"/>
  <c r="G523" i="17"/>
  <c r="G522" i="17"/>
  <c r="G521" i="17"/>
  <c r="G520" i="17"/>
  <c r="G519" i="17"/>
  <c r="G518" i="17"/>
  <c r="G517" i="17"/>
  <c r="G516" i="17"/>
  <c r="G515" i="17"/>
  <c r="G514" i="17"/>
  <c r="G513" i="17"/>
  <c r="G512" i="17"/>
  <c r="G511" i="17"/>
  <c r="G510" i="17"/>
  <c r="G509" i="17"/>
  <c r="G508" i="17"/>
  <c r="G507" i="17"/>
  <c r="G506" i="17"/>
  <c r="G505" i="17"/>
  <c r="G504" i="17"/>
  <c r="G503" i="17"/>
  <c r="G502" i="17"/>
  <c r="G501" i="17"/>
  <c r="G500" i="17"/>
  <c r="I499" i="17"/>
  <c r="H499" i="17"/>
  <c r="D497" i="17"/>
  <c r="C497" i="17"/>
  <c r="C13" i="19"/>
  <c r="B13" i="19"/>
  <c r="D12" i="19"/>
  <c r="D11" i="19"/>
  <c r="D10" i="19"/>
  <c r="D9" i="19"/>
  <c r="D8" i="19"/>
  <c r="D7" i="19"/>
  <c r="D6" i="19"/>
  <c r="G504" i="18"/>
  <c r="K507" i="18" s="1"/>
  <c r="E504" i="18"/>
  <c r="G506" i="18"/>
  <c r="G505" i="18"/>
  <c r="E505" i="18"/>
  <c r="C505" i="18"/>
  <c r="G503" i="18"/>
  <c r="C497" i="18"/>
  <c r="E497" i="18" s="1"/>
  <c r="G496" i="18"/>
  <c r="C495" i="18"/>
  <c r="G493" i="18"/>
  <c r="G492" i="18"/>
  <c r="E492" i="18"/>
  <c r="R465" i="18"/>
  <c r="P465" i="18"/>
  <c r="Q465" i="18" s="1"/>
  <c r="G457" i="18"/>
  <c r="R456" i="18"/>
  <c r="P456" i="18"/>
  <c r="G456" i="18"/>
  <c r="E456" i="18"/>
  <c r="C456" i="18"/>
  <c r="R455" i="18"/>
  <c r="P455" i="18"/>
  <c r="E455" i="18"/>
  <c r="C455" i="18"/>
  <c r="G454" i="18"/>
  <c r="R453" i="18"/>
  <c r="P452" i="18"/>
  <c r="O452" i="18"/>
  <c r="J452" i="18"/>
  <c r="R452" i="18" s="1"/>
  <c r="P451" i="18"/>
  <c r="O451" i="18"/>
  <c r="J451" i="18"/>
  <c r="R451" i="18" s="1"/>
  <c r="P450" i="18"/>
  <c r="O450" i="18"/>
  <c r="J450" i="18"/>
  <c r="R450" i="18" s="1"/>
  <c r="P449" i="18"/>
  <c r="O449" i="18"/>
  <c r="M449" i="18"/>
  <c r="L449" i="18"/>
  <c r="K449" i="18"/>
  <c r="J449" i="18"/>
  <c r="R449" i="18" s="1"/>
  <c r="P448" i="18"/>
  <c r="O448" i="18"/>
  <c r="M448" i="18"/>
  <c r="L448" i="18"/>
  <c r="K448" i="18"/>
  <c r="J448" i="18"/>
  <c r="R448" i="18" s="1"/>
  <c r="C448" i="18"/>
  <c r="G448" i="18" s="1"/>
  <c r="P447" i="18"/>
  <c r="O447" i="18"/>
  <c r="M447" i="18"/>
  <c r="L447" i="18"/>
  <c r="K447" i="18"/>
  <c r="J447" i="18"/>
  <c r="R447" i="18" s="1"/>
  <c r="G447" i="18"/>
  <c r="P446" i="18"/>
  <c r="O446" i="18"/>
  <c r="M446" i="18"/>
  <c r="L446" i="18"/>
  <c r="K446" i="18"/>
  <c r="J446" i="18"/>
  <c r="R446" i="18" s="1"/>
  <c r="C446" i="18"/>
  <c r="P445" i="18"/>
  <c r="O445" i="18"/>
  <c r="L445" i="18"/>
  <c r="K445" i="18"/>
  <c r="J445" i="18"/>
  <c r="M445" i="18" s="1"/>
  <c r="P444" i="18"/>
  <c r="L444" i="18"/>
  <c r="K444" i="18"/>
  <c r="J444" i="18"/>
  <c r="R444" i="18" s="1"/>
  <c r="P443" i="18"/>
  <c r="O443" i="18"/>
  <c r="K443" i="18"/>
  <c r="J443" i="18"/>
  <c r="R443" i="18" s="1"/>
  <c r="R442" i="18"/>
  <c r="P442" i="18"/>
  <c r="O442" i="18"/>
  <c r="M442" i="18"/>
  <c r="L442" i="18"/>
  <c r="R441" i="18"/>
  <c r="R440" i="18"/>
  <c r="P439" i="18"/>
  <c r="O439" i="18"/>
  <c r="M439" i="18"/>
  <c r="L439" i="18"/>
  <c r="R438" i="18"/>
  <c r="R436" i="18"/>
  <c r="P436" i="18"/>
  <c r="O436" i="18"/>
  <c r="M436" i="18"/>
  <c r="L436" i="18"/>
  <c r="R435" i="18"/>
  <c r="P435" i="18"/>
  <c r="R432" i="18"/>
  <c r="P432" i="18"/>
  <c r="O432" i="18"/>
  <c r="M432" i="18"/>
  <c r="L432" i="18"/>
  <c r="R431" i="18"/>
  <c r="P431" i="18"/>
  <c r="O431" i="18"/>
  <c r="M431" i="18"/>
  <c r="L431" i="18"/>
  <c r="R428" i="18"/>
  <c r="P428" i="18"/>
  <c r="P427" i="18"/>
  <c r="O427" i="18"/>
  <c r="L427" i="18"/>
  <c r="J427" i="18"/>
  <c r="K427" i="18" s="1"/>
  <c r="G411" i="18"/>
  <c r="G410" i="18"/>
  <c r="E410" i="18"/>
  <c r="C410" i="18"/>
  <c r="E409" i="18"/>
  <c r="C409" i="18"/>
  <c r="G408" i="18"/>
  <c r="O407" i="18"/>
  <c r="P406" i="18"/>
  <c r="O406" i="18"/>
  <c r="J406" i="18"/>
  <c r="K406" i="18" s="1"/>
  <c r="P405" i="18"/>
  <c r="O405" i="18"/>
  <c r="J405" i="18"/>
  <c r="K405" i="18" s="1"/>
  <c r="P404" i="18"/>
  <c r="O404" i="18"/>
  <c r="J404" i="18"/>
  <c r="K404" i="18" s="1"/>
  <c r="R403" i="18"/>
  <c r="O403" i="18"/>
  <c r="M403" i="18"/>
  <c r="L403" i="18"/>
  <c r="P402" i="18"/>
  <c r="O402" i="18"/>
  <c r="M402" i="18"/>
  <c r="L402" i="18"/>
  <c r="K402" i="18"/>
  <c r="J402" i="18"/>
  <c r="R402" i="18" s="1"/>
  <c r="C402" i="18"/>
  <c r="G402" i="18" s="1"/>
  <c r="P401" i="18"/>
  <c r="O401" i="18"/>
  <c r="M401" i="18"/>
  <c r="L401" i="18"/>
  <c r="K401" i="18"/>
  <c r="J401" i="18"/>
  <c r="R401" i="18" s="1"/>
  <c r="G401" i="18"/>
  <c r="P400" i="18"/>
  <c r="O400" i="18"/>
  <c r="M400" i="18"/>
  <c r="L400" i="18"/>
  <c r="K400" i="18"/>
  <c r="J400" i="18"/>
  <c r="R400" i="18" s="1"/>
  <c r="C400" i="18"/>
  <c r="G400" i="18" s="1"/>
  <c r="P399" i="18"/>
  <c r="O399" i="18"/>
  <c r="L399" i="18"/>
  <c r="K399" i="18"/>
  <c r="J399" i="18"/>
  <c r="M399" i="18" s="1"/>
  <c r="P398" i="18"/>
  <c r="L398" i="18"/>
  <c r="K398" i="18"/>
  <c r="J398" i="18"/>
  <c r="R398" i="18" s="1"/>
  <c r="P397" i="18"/>
  <c r="O397" i="18"/>
  <c r="K397" i="18"/>
  <c r="J397" i="18"/>
  <c r="R397" i="18" s="1"/>
  <c r="P396" i="18"/>
  <c r="O396" i="18"/>
  <c r="M396" i="18"/>
  <c r="L396" i="18"/>
  <c r="R395" i="18"/>
  <c r="R393" i="18"/>
  <c r="P393" i="18"/>
  <c r="O393" i="18"/>
  <c r="M393" i="18"/>
  <c r="L393" i="18"/>
  <c r="R392" i="18"/>
  <c r="R390" i="18"/>
  <c r="P390" i="18"/>
  <c r="O390" i="18"/>
  <c r="M390" i="18"/>
  <c r="L390" i="18"/>
  <c r="R386" i="18"/>
  <c r="P386" i="18"/>
  <c r="O386" i="18"/>
  <c r="M386" i="18"/>
  <c r="L386" i="18"/>
  <c r="R385" i="18"/>
  <c r="P385" i="18"/>
  <c r="O385" i="18"/>
  <c r="M385" i="18"/>
  <c r="L385" i="18"/>
  <c r="R382" i="18"/>
  <c r="P382" i="18"/>
  <c r="O382" i="18"/>
  <c r="M382" i="18"/>
  <c r="L382" i="18"/>
  <c r="R378" i="18"/>
  <c r="P378" i="18"/>
  <c r="O378" i="18"/>
  <c r="M378" i="18"/>
  <c r="L378" i="18"/>
  <c r="P377" i="18"/>
  <c r="O377" i="18"/>
  <c r="M377" i="18"/>
  <c r="L377" i="18"/>
  <c r="J377" i="18"/>
  <c r="R377" i="18" s="1"/>
  <c r="G361" i="18"/>
  <c r="G360" i="18"/>
  <c r="E360" i="18"/>
  <c r="C360" i="18"/>
  <c r="Z358" i="18"/>
  <c r="G358" i="18"/>
  <c r="U357" i="18"/>
  <c r="P357" i="18"/>
  <c r="O357" i="18"/>
  <c r="Z357" i="18" s="1"/>
  <c r="P356" i="18"/>
  <c r="O356" i="18"/>
  <c r="Z356" i="18" s="1"/>
  <c r="J356" i="18"/>
  <c r="U356" i="18" s="1"/>
  <c r="P355" i="18"/>
  <c r="O355" i="18"/>
  <c r="Y355" i="18" s="1"/>
  <c r="J355" i="18"/>
  <c r="T355" i="18" s="1"/>
  <c r="P354" i="18"/>
  <c r="O354" i="18"/>
  <c r="Z354" i="18" s="1"/>
  <c r="J354" i="18"/>
  <c r="U354" i="18" s="1"/>
  <c r="Y353" i="18"/>
  <c r="U353" i="18"/>
  <c r="T353" i="18"/>
  <c r="S353" i="18"/>
  <c r="R353" i="18"/>
  <c r="P353" i="18"/>
  <c r="O353" i="18"/>
  <c r="M353" i="18"/>
  <c r="L353" i="18"/>
  <c r="P352" i="18"/>
  <c r="O352" i="18"/>
  <c r="M352" i="18"/>
  <c r="L352" i="18"/>
  <c r="K352" i="18"/>
  <c r="Y352" i="18" s="1"/>
  <c r="J352" i="18"/>
  <c r="T352" i="18" s="1"/>
  <c r="C352" i="18"/>
  <c r="E352" i="18" s="1"/>
  <c r="P351" i="18"/>
  <c r="O351" i="18"/>
  <c r="M351" i="18"/>
  <c r="L351" i="18"/>
  <c r="K351" i="18"/>
  <c r="Y351" i="18" s="1"/>
  <c r="J351" i="18"/>
  <c r="T351" i="18" s="1"/>
  <c r="G351" i="18"/>
  <c r="P350" i="18"/>
  <c r="O350" i="18"/>
  <c r="M350" i="18"/>
  <c r="L350" i="18"/>
  <c r="K350" i="18"/>
  <c r="Y350" i="18" s="1"/>
  <c r="J350" i="18"/>
  <c r="T350" i="18" s="1"/>
  <c r="C350" i="18"/>
  <c r="E350" i="18" s="1"/>
  <c r="P349" i="18"/>
  <c r="O349" i="18"/>
  <c r="L349" i="18"/>
  <c r="K349" i="18"/>
  <c r="Y349" i="18" s="1"/>
  <c r="J349" i="18"/>
  <c r="T349" i="18" s="1"/>
  <c r="P348" i="18"/>
  <c r="L348" i="18"/>
  <c r="K348" i="18"/>
  <c r="Y348" i="18" s="1"/>
  <c r="J348" i="18"/>
  <c r="U348" i="18" s="1"/>
  <c r="G348" i="18"/>
  <c r="E348" i="18"/>
  <c r="P347" i="18"/>
  <c r="O347" i="18"/>
  <c r="K347" i="18"/>
  <c r="Y347" i="18" s="1"/>
  <c r="J347" i="18"/>
  <c r="U347" i="18" s="1"/>
  <c r="P346" i="18"/>
  <c r="O346" i="18"/>
  <c r="M346" i="18"/>
  <c r="L346" i="18"/>
  <c r="W345" i="18"/>
  <c r="X345" i="18" s="1"/>
  <c r="S345" i="18"/>
  <c r="U345" i="18" s="1"/>
  <c r="R345" i="18"/>
  <c r="Y343" i="18"/>
  <c r="U343" i="18"/>
  <c r="T343" i="18"/>
  <c r="S343" i="18"/>
  <c r="R343" i="18"/>
  <c r="P343" i="18"/>
  <c r="O343" i="18"/>
  <c r="M343" i="18"/>
  <c r="L343" i="18"/>
  <c r="W342" i="18"/>
  <c r="X342" i="18" s="1"/>
  <c r="S342" i="18"/>
  <c r="U342" i="18" s="1"/>
  <c r="R342" i="18"/>
  <c r="Y340" i="18"/>
  <c r="U340" i="18"/>
  <c r="T340" i="18"/>
  <c r="S340" i="18"/>
  <c r="R340" i="18"/>
  <c r="P340" i="18"/>
  <c r="O340" i="18"/>
  <c r="M340" i="18"/>
  <c r="L340" i="18"/>
  <c r="Y336" i="18"/>
  <c r="U336" i="18"/>
  <c r="T336" i="18"/>
  <c r="S336" i="18"/>
  <c r="R336" i="18"/>
  <c r="P336" i="18"/>
  <c r="O336" i="18"/>
  <c r="M336" i="18"/>
  <c r="L336" i="18"/>
  <c r="Y335" i="18"/>
  <c r="U335" i="18"/>
  <c r="T335" i="18"/>
  <c r="S335" i="18"/>
  <c r="R335" i="18"/>
  <c r="P335" i="18"/>
  <c r="O335" i="18"/>
  <c r="M335" i="18"/>
  <c r="L335" i="18"/>
  <c r="Y332" i="18"/>
  <c r="U332" i="18"/>
  <c r="T332" i="18"/>
  <c r="S332" i="18"/>
  <c r="R332" i="18"/>
  <c r="P332" i="18"/>
  <c r="O332" i="18"/>
  <c r="M332" i="18"/>
  <c r="L332" i="18"/>
  <c r="Y328" i="18"/>
  <c r="U328" i="18"/>
  <c r="T328" i="18"/>
  <c r="S328" i="18"/>
  <c r="R328" i="18"/>
  <c r="P328" i="18"/>
  <c r="O328" i="18"/>
  <c r="M328" i="18"/>
  <c r="L328" i="18"/>
  <c r="P327" i="18"/>
  <c r="O327" i="18"/>
  <c r="M327" i="18"/>
  <c r="L327" i="18"/>
  <c r="J327" i="18"/>
  <c r="T327" i="18" s="1"/>
  <c r="X326" i="18"/>
  <c r="W326" i="18"/>
  <c r="W355" i="18" s="1"/>
  <c r="Z324" i="18"/>
  <c r="Y324" i="18"/>
  <c r="Y339" i="18" s="1"/>
  <c r="X324" i="18"/>
  <c r="X339" i="18" s="1"/>
  <c r="W324" i="18"/>
  <c r="W339" i="18" s="1"/>
  <c r="G311" i="18"/>
  <c r="G310" i="18"/>
  <c r="E310" i="18"/>
  <c r="C310" i="18"/>
  <c r="Z308" i="18"/>
  <c r="G308" i="18"/>
  <c r="U307" i="18"/>
  <c r="P307" i="18"/>
  <c r="O307" i="18"/>
  <c r="Z307" i="18" s="1"/>
  <c r="P306" i="18"/>
  <c r="O306" i="18"/>
  <c r="Z306" i="18" s="1"/>
  <c r="J306" i="18"/>
  <c r="U306" i="18" s="1"/>
  <c r="P305" i="18"/>
  <c r="O305" i="18"/>
  <c r="Y305" i="18" s="1"/>
  <c r="J305" i="18"/>
  <c r="T305" i="18" s="1"/>
  <c r="P304" i="18"/>
  <c r="O304" i="18"/>
  <c r="Z304" i="18" s="1"/>
  <c r="J304" i="18"/>
  <c r="U304" i="18" s="1"/>
  <c r="Y303" i="18"/>
  <c r="U303" i="18"/>
  <c r="T303" i="18"/>
  <c r="S303" i="18"/>
  <c r="R303" i="18"/>
  <c r="P303" i="18"/>
  <c r="O303" i="18"/>
  <c r="M303" i="18"/>
  <c r="L303" i="18"/>
  <c r="P302" i="18"/>
  <c r="O302" i="18"/>
  <c r="M302" i="18"/>
  <c r="L302" i="18"/>
  <c r="K302" i="18"/>
  <c r="Y302" i="18" s="1"/>
  <c r="J302" i="18"/>
  <c r="T302" i="18" s="1"/>
  <c r="C302" i="18"/>
  <c r="E302" i="18" s="1"/>
  <c r="P301" i="18"/>
  <c r="O301" i="18"/>
  <c r="M301" i="18"/>
  <c r="L301" i="18"/>
  <c r="K301" i="18"/>
  <c r="Y301" i="18" s="1"/>
  <c r="J301" i="18"/>
  <c r="T301" i="18" s="1"/>
  <c r="G301" i="18"/>
  <c r="P300" i="18"/>
  <c r="O300" i="18"/>
  <c r="M300" i="18"/>
  <c r="L300" i="18"/>
  <c r="K300" i="18"/>
  <c r="Y300" i="18" s="1"/>
  <c r="J300" i="18"/>
  <c r="C300" i="18"/>
  <c r="E300" i="18" s="1"/>
  <c r="P299" i="18"/>
  <c r="O299" i="18"/>
  <c r="L299" i="18"/>
  <c r="K299" i="18"/>
  <c r="Y299" i="18" s="1"/>
  <c r="J299" i="18"/>
  <c r="P298" i="18"/>
  <c r="L298" i="18"/>
  <c r="K298" i="18"/>
  <c r="Y298" i="18" s="1"/>
  <c r="J298" i="18"/>
  <c r="P297" i="18"/>
  <c r="O297" i="18"/>
  <c r="K297" i="18"/>
  <c r="Y297" i="18" s="1"/>
  <c r="J297" i="18"/>
  <c r="P296" i="18"/>
  <c r="O296" i="18"/>
  <c r="M296" i="18"/>
  <c r="L296" i="18"/>
  <c r="W295" i="18"/>
  <c r="Y295" i="18" s="1"/>
  <c r="S295" i="18"/>
  <c r="R295" i="18"/>
  <c r="Y293" i="18"/>
  <c r="U293" i="18"/>
  <c r="T293" i="18"/>
  <c r="S293" i="18"/>
  <c r="R293" i="18"/>
  <c r="P293" i="18"/>
  <c r="O293" i="18"/>
  <c r="M293" i="18"/>
  <c r="L293" i="18"/>
  <c r="W292" i="18"/>
  <c r="Y292" i="18" s="1"/>
  <c r="S292" i="18"/>
  <c r="T292" i="18" s="1"/>
  <c r="R292" i="18"/>
  <c r="Y290" i="18"/>
  <c r="U290" i="18"/>
  <c r="T290" i="18"/>
  <c r="S290" i="18"/>
  <c r="R290" i="18"/>
  <c r="P290" i="18"/>
  <c r="O290" i="18"/>
  <c r="M290" i="18"/>
  <c r="M297" i="18" s="1"/>
  <c r="L290" i="18"/>
  <c r="Y286" i="18"/>
  <c r="U286" i="18"/>
  <c r="T286" i="18"/>
  <c r="S286" i="18"/>
  <c r="R286" i="18"/>
  <c r="P286" i="18"/>
  <c r="O286" i="18"/>
  <c r="M286" i="18"/>
  <c r="L286" i="18"/>
  <c r="Y285" i="18"/>
  <c r="U285" i="18"/>
  <c r="T285" i="18"/>
  <c r="S285" i="18"/>
  <c r="R285" i="18"/>
  <c r="P285" i="18"/>
  <c r="O285" i="18"/>
  <c r="M285" i="18"/>
  <c r="L285" i="18"/>
  <c r="Y282" i="18"/>
  <c r="U282" i="18"/>
  <c r="T282" i="18"/>
  <c r="S282" i="18"/>
  <c r="R282" i="18"/>
  <c r="P282" i="18"/>
  <c r="P308" i="18" s="1"/>
  <c r="O282" i="18"/>
  <c r="M282" i="18"/>
  <c r="L282" i="18"/>
  <c r="C282" i="18"/>
  <c r="Y278" i="18"/>
  <c r="U278" i="18"/>
  <c r="T278" i="18"/>
  <c r="S278" i="18"/>
  <c r="R278" i="18"/>
  <c r="P278" i="18"/>
  <c r="O278" i="18"/>
  <c r="M278" i="18"/>
  <c r="L278" i="18"/>
  <c r="P277" i="18"/>
  <c r="O277" i="18"/>
  <c r="M277" i="18"/>
  <c r="L277" i="18"/>
  <c r="J277" i="18"/>
  <c r="X276" i="18"/>
  <c r="X300" i="18" s="1"/>
  <c r="W276" i="18"/>
  <c r="Z274" i="18"/>
  <c r="Y274" i="18"/>
  <c r="Y289" i="18" s="1"/>
  <c r="X274" i="18"/>
  <c r="X289" i="18" s="1"/>
  <c r="W274" i="18"/>
  <c r="K264" i="18"/>
  <c r="J264" i="18"/>
  <c r="S262" i="18" s="1"/>
  <c r="K263" i="18"/>
  <c r="S261" i="18" s="1"/>
  <c r="J263" i="18"/>
  <c r="U261" i="18" s="1"/>
  <c r="P262" i="18"/>
  <c r="O262" i="18"/>
  <c r="K262" i="18"/>
  <c r="S260" i="18" s="1"/>
  <c r="J262" i="18"/>
  <c r="U260" i="18" s="1"/>
  <c r="P261" i="18"/>
  <c r="O261" i="18"/>
  <c r="P260" i="18"/>
  <c r="O260" i="18"/>
  <c r="I260" i="18"/>
  <c r="G260" i="18"/>
  <c r="E260" i="18"/>
  <c r="C260" i="18"/>
  <c r="P258" i="18"/>
  <c r="O258" i="18"/>
  <c r="M258" i="18"/>
  <c r="L258" i="18"/>
  <c r="K258" i="18"/>
  <c r="J258" i="18"/>
  <c r="G258" i="18"/>
  <c r="P257" i="18"/>
  <c r="O257" i="18"/>
  <c r="M257" i="18"/>
  <c r="L257" i="18"/>
  <c r="K257" i="18"/>
  <c r="J257" i="18"/>
  <c r="U257" i="18" s="1"/>
  <c r="C257" i="18"/>
  <c r="G257" i="18" s="1"/>
  <c r="P256" i="18"/>
  <c r="O256" i="18"/>
  <c r="M256" i="18"/>
  <c r="L256" i="18"/>
  <c r="K256" i="18"/>
  <c r="X256" i="18" s="1"/>
  <c r="J256" i="18"/>
  <c r="G256" i="18"/>
  <c r="P255" i="18"/>
  <c r="O255" i="18"/>
  <c r="M255" i="18"/>
  <c r="L255" i="18"/>
  <c r="K255" i="18"/>
  <c r="J255" i="18"/>
  <c r="U255" i="18" s="1"/>
  <c r="C255" i="18"/>
  <c r="P253" i="18"/>
  <c r="M253" i="18"/>
  <c r="L253" i="18"/>
  <c r="K253" i="18"/>
  <c r="J253" i="18"/>
  <c r="U253" i="18" s="1"/>
  <c r="P252" i="18"/>
  <c r="O252" i="18"/>
  <c r="K252" i="18"/>
  <c r="J252" i="18"/>
  <c r="U252" i="18" s="1"/>
  <c r="P251" i="18"/>
  <c r="O251" i="18"/>
  <c r="M251" i="18"/>
  <c r="L251" i="18"/>
  <c r="W250" i="18"/>
  <c r="X250" i="18" s="1"/>
  <c r="S250" i="18"/>
  <c r="U250" i="18" s="1"/>
  <c r="R250" i="18"/>
  <c r="U248" i="18"/>
  <c r="T248" i="18"/>
  <c r="S248" i="18"/>
  <c r="R248" i="18"/>
  <c r="P248" i="18"/>
  <c r="O248" i="18"/>
  <c r="M248" i="18"/>
  <c r="L248" i="18"/>
  <c r="W247" i="18"/>
  <c r="S247" i="18"/>
  <c r="U247" i="18" s="1"/>
  <c r="R247" i="18"/>
  <c r="U245" i="18"/>
  <c r="T245" i="18"/>
  <c r="S245" i="18"/>
  <c r="R245" i="18"/>
  <c r="P245" i="18"/>
  <c r="O245" i="18"/>
  <c r="M245" i="18"/>
  <c r="L245" i="18"/>
  <c r="U241" i="18"/>
  <c r="T241" i="18"/>
  <c r="S241" i="18"/>
  <c r="R241" i="18"/>
  <c r="P241" i="18"/>
  <c r="O241" i="18"/>
  <c r="M241" i="18"/>
  <c r="L241" i="18"/>
  <c r="U240" i="18"/>
  <c r="T240" i="18"/>
  <c r="S240" i="18"/>
  <c r="R240" i="18"/>
  <c r="P240" i="18"/>
  <c r="O240" i="18"/>
  <c r="M240" i="18"/>
  <c r="L240" i="18"/>
  <c r="U237" i="18"/>
  <c r="T237" i="18"/>
  <c r="S237" i="18"/>
  <c r="R237" i="18"/>
  <c r="P237" i="18"/>
  <c r="O237" i="18"/>
  <c r="M237" i="18"/>
  <c r="L237" i="18"/>
  <c r="U233" i="18"/>
  <c r="T233" i="18"/>
  <c r="S233" i="18"/>
  <c r="R233" i="18"/>
  <c r="P233" i="18"/>
  <c r="O233" i="18"/>
  <c r="M233" i="18"/>
  <c r="L233" i="18"/>
  <c r="U232" i="18"/>
  <c r="T232" i="18"/>
  <c r="S232" i="18"/>
  <c r="R232" i="18"/>
  <c r="P232" i="18"/>
  <c r="O232" i="18"/>
  <c r="M232" i="18"/>
  <c r="L232" i="18"/>
  <c r="Y231" i="18"/>
  <c r="X231" i="18"/>
  <c r="X245" i="18" s="1"/>
  <c r="W231" i="18"/>
  <c r="W252" i="18" s="1"/>
  <c r="Y229" i="18"/>
  <c r="Y244" i="18" s="1"/>
  <c r="X229" i="18"/>
  <c r="W229" i="18"/>
  <c r="W244" i="18" s="1"/>
  <c r="K219" i="18"/>
  <c r="J219" i="18"/>
  <c r="K218" i="18"/>
  <c r="J218" i="18"/>
  <c r="U216" i="18" s="1"/>
  <c r="P217" i="18"/>
  <c r="O217" i="18"/>
  <c r="K217" i="18"/>
  <c r="J217" i="18"/>
  <c r="U215" i="18" s="1"/>
  <c r="P216" i="18"/>
  <c r="O216" i="18"/>
  <c r="P215" i="18"/>
  <c r="O215" i="18"/>
  <c r="I215" i="18"/>
  <c r="G215" i="18"/>
  <c r="E215" i="18"/>
  <c r="C215" i="18"/>
  <c r="P213" i="18"/>
  <c r="O213" i="18"/>
  <c r="M213" i="18"/>
  <c r="L213" i="18"/>
  <c r="K213" i="18"/>
  <c r="J213" i="18"/>
  <c r="S213" i="18" s="1"/>
  <c r="G213" i="18"/>
  <c r="P212" i="18"/>
  <c r="O212" i="18"/>
  <c r="M212" i="18"/>
  <c r="L212" i="18"/>
  <c r="K212" i="18"/>
  <c r="J212" i="18"/>
  <c r="U212" i="18" s="1"/>
  <c r="C212" i="18"/>
  <c r="P211" i="18"/>
  <c r="O211" i="18"/>
  <c r="M211" i="18"/>
  <c r="L211" i="18"/>
  <c r="K211" i="18"/>
  <c r="J211" i="18"/>
  <c r="G211" i="18"/>
  <c r="P210" i="18"/>
  <c r="O210" i="18"/>
  <c r="M210" i="18"/>
  <c r="L210" i="18"/>
  <c r="K210" i="18"/>
  <c r="J210" i="18"/>
  <c r="C210" i="18"/>
  <c r="G210" i="18" s="1"/>
  <c r="P208" i="18"/>
  <c r="M208" i="18"/>
  <c r="K208" i="18"/>
  <c r="R208" i="18" s="1"/>
  <c r="J208" i="18"/>
  <c r="P207" i="18"/>
  <c r="O207" i="18"/>
  <c r="K207" i="18"/>
  <c r="J207" i="18"/>
  <c r="U207" i="18" s="1"/>
  <c r="P206" i="18"/>
  <c r="O206" i="18"/>
  <c r="M206" i="18"/>
  <c r="L206" i="18"/>
  <c r="W205" i="18"/>
  <c r="X205" i="18" s="1"/>
  <c r="S205" i="18"/>
  <c r="R205" i="18"/>
  <c r="U203" i="18"/>
  <c r="T203" i="18"/>
  <c r="S203" i="18"/>
  <c r="R203" i="18"/>
  <c r="P203" i="18"/>
  <c r="O203" i="18"/>
  <c r="M203" i="18"/>
  <c r="L203" i="18"/>
  <c r="W202" i="18"/>
  <c r="S202" i="18"/>
  <c r="U202" i="18" s="1"/>
  <c r="R202" i="18"/>
  <c r="U200" i="18"/>
  <c r="T200" i="18"/>
  <c r="S200" i="18"/>
  <c r="R200" i="18"/>
  <c r="P200" i="18"/>
  <c r="O200" i="18"/>
  <c r="M200" i="18"/>
  <c r="L200" i="18"/>
  <c r="U196" i="18"/>
  <c r="T196" i="18"/>
  <c r="S196" i="18"/>
  <c r="R196" i="18"/>
  <c r="P196" i="18"/>
  <c r="O196" i="18"/>
  <c r="M196" i="18"/>
  <c r="L196" i="18"/>
  <c r="U195" i="18"/>
  <c r="T195" i="18"/>
  <c r="S195" i="18"/>
  <c r="R195" i="18"/>
  <c r="P195" i="18"/>
  <c r="O195" i="18"/>
  <c r="M195" i="18"/>
  <c r="L195" i="18"/>
  <c r="U192" i="18"/>
  <c r="T192" i="18"/>
  <c r="S192" i="18"/>
  <c r="R192" i="18"/>
  <c r="P192" i="18"/>
  <c r="O192" i="18"/>
  <c r="M192" i="18"/>
  <c r="L192" i="18"/>
  <c r="U188" i="18"/>
  <c r="T188" i="18"/>
  <c r="S188" i="18"/>
  <c r="R188" i="18"/>
  <c r="P188" i="18"/>
  <c r="O188" i="18"/>
  <c r="M188" i="18"/>
  <c r="L188" i="18"/>
  <c r="P187" i="18"/>
  <c r="O187" i="18"/>
  <c r="M187" i="18"/>
  <c r="L187" i="18"/>
  <c r="K187" i="18"/>
  <c r="J187" i="18"/>
  <c r="Y186" i="18"/>
  <c r="Y192" i="18" s="1"/>
  <c r="X186" i="18"/>
  <c r="W186" i="18"/>
  <c r="Y184" i="18"/>
  <c r="Y199" i="18" s="1"/>
  <c r="X184" i="18"/>
  <c r="X199" i="18" s="1"/>
  <c r="W184" i="18"/>
  <c r="U172" i="18"/>
  <c r="T172" i="18"/>
  <c r="S172" i="18"/>
  <c r="R172" i="18"/>
  <c r="P172" i="18"/>
  <c r="O172" i="18"/>
  <c r="U171" i="18"/>
  <c r="T171" i="18"/>
  <c r="S171" i="18"/>
  <c r="R171" i="18"/>
  <c r="P171" i="18"/>
  <c r="O171" i="18"/>
  <c r="U170" i="18"/>
  <c r="T170" i="18"/>
  <c r="S170" i="18"/>
  <c r="R170" i="18"/>
  <c r="P170" i="18"/>
  <c r="O170" i="18"/>
  <c r="I170" i="18"/>
  <c r="G170" i="18"/>
  <c r="E170" i="18"/>
  <c r="C170" i="18"/>
  <c r="U168" i="18"/>
  <c r="T168" i="18"/>
  <c r="S168" i="18"/>
  <c r="R168" i="18"/>
  <c r="P168" i="18"/>
  <c r="O168" i="18"/>
  <c r="M168" i="18"/>
  <c r="L168" i="18"/>
  <c r="G168" i="18"/>
  <c r="U167" i="18"/>
  <c r="T167" i="18"/>
  <c r="S167" i="18"/>
  <c r="R167" i="18"/>
  <c r="P167" i="18"/>
  <c r="O167" i="18"/>
  <c r="M167" i="18"/>
  <c r="L167" i="18"/>
  <c r="G167" i="18"/>
  <c r="E167" i="18"/>
  <c r="U166" i="18"/>
  <c r="T166" i="18"/>
  <c r="S166" i="18"/>
  <c r="R166" i="18"/>
  <c r="P166" i="18"/>
  <c r="O166" i="18"/>
  <c r="M166" i="18"/>
  <c r="L166" i="18"/>
  <c r="G166" i="18"/>
  <c r="U165" i="18"/>
  <c r="T165" i="18"/>
  <c r="S165" i="18"/>
  <c r="R165" i="18"/>
  <c r="P165" i="18"/>
  <c r="O165" i="18"/>
  <c r="M165" i="18"/>
  <c r="L165" i="18"/>
  <c r="C165" i="18"/>
  <c r="U163" i="18"/>
  <c r="T163" i="18"/>
  <c r="S163" i="18"/>
  <c r="R163" i="18"/>
  <c r="P163" i="18"/>
  <c r="U162" i="18"/>
  <c r="T162" i="18"/>
  <c r="S162" i="18"/>
  <c r="R162" i="18"/>
  <c r="P162" i="18"/>
  <c r="P161" i="18"/>
  <c r="O161" i="18"/>
  <c r="M161" i="18"/>
  <c r="L161" i="18"/>
  <c r="W160" i="18"/>
  <c r="Y160" i="18" s="1"/>
  <c r="S160" i="18"/>
  <c r="R160" i="18"/>
  <c r="U158" i="18"/>
  <c r="T158" i="18"/>
  <c r="S158" i="18"/>
  <c r="R158" i="18"/>
  <c r="P158" i="18"/>
  <c r="O158" i="18"/>
  <c r="M158" i="18"/>
  <c r="L158" i="18"/>
  <c r="W157" i="18"/>
  <c r="Y157" i="18" s="1"/>
  <c r="S157" i="18"/>
  <c r="R157" i="18"/>
  <c r="U155" i="18"/>
  <c r="T155" i="18"/>
  <c r="S155" i="18"/>
  <c r="R155" i="18"/>
  <c r="P155" i="18"/>
  <c r="O155" i="18"/>
  <c r="M155" i="18"/>
  <c r="L155" i="18"/>
  <c r="U151" i="18"/>
  <c r="T151" i="18"/>
  <c r="S151" i="18"/>
  <c r="R151" i="18"/>
  <c r="P151" i="18"/>
  <c r="O151" i="18"/>
  <c r="M151" i="18"/>
  <c r="L151" i="18"/>
  <c r="U150" i="18"/>
  <c r="T150" i="18"/>
  <c r="S150" i="18"/>
  <c r="R150" i="18"/>
  <c r="P150" i="18"/>
  <c r="O150" i="18"/>
  <c r="M150" i="18"/>
  <c r="L150" i="18"/>
  <c r="U147" i="18"/>
  <c r="T147" i="18"/>
  <c r="S147" i="18"/>
  <c r="R147" i="18"/>
  <c r="P147" i="18"/>
  <c r="O147" i="18"/>
  <c r="M147" i="18"/>
  <c r="L147" i="18"/>
  <c r="U143" i="18"/>
  <c r="T143" i="18"/>
  <c r="S143" i="18"/>
  <c r="R143" i="18"/>
  <c r="P143" i="18"/>
  <c r="O143" i="18"/>
  <c r="M143" i="18"/>
  <c r="L143" i="18"/>
  <c r="U142" i="18"/>
  <c r="T142" i="18"/>
  <c r="S142" i="18"/>
  <c r="R142" i="18"/>
  <c r="P142" i="18"/>
  <c r="O142" i="18"/>
  <c r="M142" i="18"/>
  <c r="L142" i="18"/>
  <c r="Y141" i="18"/>
  <c r="Y147" i="18" s="1"/>
  <c r="X141" i="18"/>
  <c r="W141" i="18"/>
  <c r="Y139" i="18"/>
  <c r="Y154" i="18" s="1"/>
  <c r="X139" i="18"/>
  <c r="W139" i="18"/>
  <c r="U127" i="18"/>
  <c r="T127" i="18"/>
  <c r="S127" i="18"/>
  <c r="R127" i="18"/>
  <c r="P127" i="18"/>
  <c r="O127" i="18"/>
  <c r="U126" i="18"/>
  <c r="T126" i="18"/>
  <c r="S126" i="18"/>
  <c r="R126" i="18"/>
  <c r="P126" i="18"/>
  <c r="O126" i="18"/>
  <c r="U125" i="18"/>
  <c r="T125" i="18"/>
  <c r="S125" i="18"/>
  <c r="R125" i="18"/>
  <c r="P125" i="18"/>
  <c r="O125" i="18"/>
  <c r="I125" i="18"/>
  <c r="G125" i="18"/>
  <c r="E125" i="18"/>
  <c r="C125" i="18"/>
  <c r="C124" i="18"/>
  <c r="U123" i="18"/>
  <c r="T123" i="18"/>
  <c r="S123" i="18"/>
  <c r="R123" i="18"/>
  <c r="P123" i="18"/>
  <c r="O123" i="18"/>
  <c r="M123" i="18"/>
  <c r="L123" i="18"/>
  <c r="G123" i="18"/>
  <c r="P122" i="18"/>
  <c r="U121" i="18"/>
  <c r="T121" i="18"/>
  <c r="S121" i="18"/>
  <c r="R121" i="18"/>
  <c r="P121" i="18"/>
  <c r="O121" i="18"/>
  <c r="M121" i="18"/>
  <c r="L121" i="18"/>
  <c r="G121" i="18"/>
  <c r="U120" i="18"/>
  <c r="T120" i="18"/>
  <c r="S120" i="18"/>
  <c r="R120" i="18"/>
  <c r="P120" i="18"/>
  <c r="O120" i="18"/>
  <c r="M120" i="18"/>
  <c r="L120" i="18"/>
  <c r="U118" i="18"/>
  <c r="T118" i="18"/>
  <c r="S118" i="18"/>
  <c r="R118" i="18"/>
  <c r="P118" i="18"/>
  <c r="L118" i="18"/>
  <c r="U117" i="18"/>
  <c r="T117" i="18"/>
  <c r="S117" i="18"/>
  <c r="R117" i="18"/>
  <c r="P117" i="18"/>
  <c r="O117" i="18"/>
  <c r="P116" i="18"/>
  <c r="O116" i="18"/>
  <c r="M116" i="18"/>
  <c r="L116" i="18"/>
  <c r="W115" i="18"/>
  <c r="X115" i="18" s="1"/>
  <c r="S115" i="18"/>
  <c r="R115" i="18"/>
  <c r="U113" i="18"/>
  <c r="T113" i="18"/>
  <c r="S113" i="18"/>
  <c r="R113" i="18"/>
  <c r="P113" i="18"/>
  <c r="O113" i="18"/>
  <c r="O118" i="18" s="1"/>
  <c r="O124" i="18" s="1"/>
  <c r="M113" i="18"/>
  <c r="L113" i="18"/>
  <c r="W112" i="18"/>
  <c r="X112" i="18" s="1"/>
  <c r="S112" i="18"/>
  <c r="R112" i="18"/>
  <c r="U110" i="18"/>
  <c r="T110" i="18"/>
  <c r="S110" i="18"/>
  <c r="R110" i="18"/>
  <c r="P110" i="18"/>
  <c r="O110" i="18"/>
  <c r="M110" i="18"/>
  <c r="L110" i="18"/>
  <c r="U106" i="18"/>
  <c r="T106" i="18"/>
  <c r="S106" i="18"/>
  <c r="R106" i="18"/>
  <c r="P106" i="18"/>
  <c r="O106" i="18"/>
  <c r="M106" i="18"/>
  <c r="L106" i="18"/>
  <c r="U105" i="18"/>
  <c r="T105" i="18"/>
  <c r="S105" i="18"/>
  <c r="R105" i="18"/>
  <c r="P105" i="18"/>
  <c r="O105" i="18"/>
  <c r="M105" i="18"/>
  <c r="L105" i="18"/>
  <c r="U102" i="18"/>
  <c r="T102" i="18"/>
  <c r="S102" i="18"/>
  <c r="R102" i="18"/>
  <c r="P102" i="18"/>
  <c r="O102" i="18"/>
  <c r="M102" i="18"/>
  <c r="L102" i="18"/>
  <c r="U98" i="18"/>
  <c r="T98" i="18"/>
  <c r="S98" i="18"/>
  <c r="R98" i="18"/>
  <c r="P98" i="18"/>
  <c r="O98" i="18"/>
  <c r="M98" i="18"/>
  <c r="L98" i="18"/>
  <c r="U97" i="18"/>
  <c r="T97" i="18"/>
  <c r="S97" i="18"/>
  <c r="R97" i="18"/>
  <c r="P97" i="18"/>
  <c r="O97" i="18"/>
  <c r="M97" i="18"/>
  <c r="L97" i="18"/>
  <c r="Y96" i="18"/>
  <c r="X96" i="18"/>
  <c r="W96" i="18"/>
  <c r="W125" i="18" s="1"/>
  <c r="Y94" i="18"/>
  <c r="X94" i="18"/>
  <c r="X109" i="18" s="1"/>
  <c r="W94" i="18"/>
  <c r="W104" i="18" s="1"/>
  <c r="U82" i="18"/>
  <c r="T82" i="18"/>
  <c r="S82" i="18"/>
  <c r="R82" i="18"/>
  <c r="P82" i="18"/>
  <c r="O82" i="18"/>
  <c r="U81" i="18"/>
  <c r="T81" i="18"/>
  <c r="S81" i="18"/>
  <c r="R81" i="18"/>
  <c r="P81" i="18"/>
  <c r="O81" i="18"/>
  <c r="U80" i="18"/>
  <c r="T80" i="18"/>
  <c r="S80" i="18"/>
  <c r="R80" i="18"/>
  <c r="P80" i="18"/>
  <c r="O80" i="18"/>
  <c r="I80" i="18"/>
  <c r="G80" i="18"/>
  <c r="E80" i="18"/>
  <c r="C80" i="18"/>
  <c r="C79" i="18"/>
  <c r="U78" i="18"/>
  <c r="T78" i="18"/>
  <c r="S78" i="18"/>
  <c r="R78" i="18"/>
  <c r="P78" i="18"/>
  <c r="O78" i="18"/>
  <c r="M78" i="18"/>
  <c r="L78" i="18"/>
  <c r="G78" i="18"/>
  <c r="U77" i="18"/>
  <c r="T77" i="18"/>
  <c r="S77" i="18"/>
  <c r="R77" i="18"/>
  <c r="P77" i="18"/>
  <c r="O77" i="18"/>
  <c r="M77" i="18"/>
  <c r="L77" i="18"/>
  <c r="G77" i="18"/>
  <c r="U76" i="18"/>
  <c r="T76" i="18"/>
  <c r="S76" i="18"/>
  <c r="R76" i="18"/>
  <c r="P76" i="18"/>
  <c r="O76" i="18"/>
  <c r="M76" i="18"/>
  <c r="L76" i="18"/>
  <c r="G76" i="18"/>
  <c r="U74" i="18"/>
  <c r="T74" i="18"/>
  <c r="S74" i="18"/>
  <c r="R74" i="18"/>
  <c r="P74" i="18"/>
  <c r="L74" i="18"/>
  <c r="U73" i="18"/>
  <c r="T73" i="18"/>
  <c r="S73" i="18"/>
  <c r="R73" i="18"/>
  <c r="P73" i="18"/>
  <c r="O73" i="18"/>
  <c r="P72" i="18"/>
  <c r="O72" i="18"/>
  <c r="M72" i="18"/>
  <c r="L72" i="18"/>
  <c r="W71" i="18"/>
  <c r="S71" i="18"/>
  <c r="U71" i="18" s="1"/>
  <c r="R71" i="18"/>
  <c r="U69" i="18"/>
  <c r="T69" i="18"/>
  <c r="S69" i="18"/>
  <c r="R69" i="18"/>
  <c r="P69" i="18"/>
  <c r="O69" i="18"/>
  <c r="M69" i="18"/>
  <c r="L69" i="18"/>
  <c r="W68" i="18"/>
  <c r="S68" i="18"/>
  <c r="R68" i="18"/>
  <c r="U66" i="18"/>
  <c r="T66" i="18"/>
  <c r="S66" i="18"/>
  <c r="R66" i="18"/>
  <c r="P66" i="18"/>
  <c r="O66" i="18"/>
  <c r="M66" i="18"/>
  <c r="L66" i="18"/>
  <c r="U62" i="18"/>
  <c r="T62" i="18"/>
  <c r="S62" i="18"/>
  <c r="R62" i="18"/>
  <c r="P62" i="18"/>
  <c r="O62" i="18"/>
  <c r="M62" i="18"/>
  <c r="L62" i="18"/>
  <c r="U61" i="18"/>
  <c r="T61" i="18"/>
  <c r="S61" i="18"/>
  <c r="R61" i="18"/>
  <c r="P61" i="18"/>
  <c r="O61" i="18"/>
  <c r="M61" i="18"/>
  <c r="L61" i="18"/>
  <c r="U58" i="18"/>
  <c r="T58" i="18"/>
  <c r="S58" i="18"/>
  <c r="R58" i="18"/>
  <c r="P58" i="18"/>
  <c r="O58" i="18"/>
  <c r="M58" i="18"/>
  <c r="L58" i="18"/>
  <c r="U54" i="18"/>
  <c r="T54" i="18"/>
  <c r="S54" i="18"/>
  <c r="R54" i="18"/>
  <c r="P54" i="18"/>
  <c r="O54" i="18"/>
  <c r="M54" i="18"/>
  <c r="L54" i="18"/>
  <c r="U53" i="18"/>
  <c r="T53" i="18"/>
  <c r="S53" i="18"/>
  <c r="R53" i="18"/>
  <c r="P53" i="18"/>
  <c r="O53" i="18"/>
  <c r="M53" i="18"/>
  <c r="L53" i="18"/>
  <c r="Y52" i="18"/>
  <c r="X52" i="18"/>
  <c r="W52" i="18"/>
  <c r="W78" i="18" s="1"/>
  <c r="Y50" i="18"/>
  <c r="X50" i="18"/>
  <c r="X65" i="18" s="1"/>
  <c r="W50" i="18"/>
  <c r="W60" i="18" s="1"/>
  <c r="U38" i="18"/>
  <c r="T38" i="18"/>
  <c r="S38" i="18"/>
  <c r="R38" i="18"/>
  <c r="P38" i="18"/>
  <c r="O38" i="18"/>
  <c r="U37" i="18"/>
  <c r="T37" i="18"/>
  <c r="S37" i="18"/>
  <c r="R37" i="18"/>
  <c r="P37" i="18"/>
  <c r="O37" i="18"/>
  <c r="U36" i="18"/>
  <c r="T36" i="18"/>
  <c r="S36" i="18"/>
  <c r="R36" i="18"/>
  <c r="P36" i="18"/>
  <c r="O36" i="18"/>
  <c r="I36" i="18"/>
  <c r="G36" i="18"/>
  <c r="E36" i="18"/>
  <c r="C36" i="18"/>
  <c r="G35" i="18"/>
  <c r="K36" i="18" s="1"/>
  <c r="E35" i="18"/>
  <c r="J36" i="18" s="1"/>
  <c r="C35" i="18"/>
  <c r="U34" i="18"/>
  <c r="T34" i="18"/>
  <c r="S34" i="18"/>
  <c r="R34" i="18"/>
  <c r="P34" i="18"/>
  <c r="O34" i="18"/>
  <c r="M34" i="18"/>
  <c r="L34" i="18"/>
  <c r="G34" i="18"/>
  <c r="U33" i="18"/>
  <c r="T33" i="18"/>
  <c r="S33" i="18"/>
  <c r="R33" i="18"/>
  <c r="P33" i="18"/>
  <c r="O33" i="18"/>
  <c r="M33" i="18"/>
  <c r="L33" i="18"/>
  <c r="G33" i="18"/>
  <c r="U32" i="18"/>
  <c r="T32" i="18"/>
  <c r="S32" i="18"/>
  <c r="R32" i="18"/>
  <c r="P32" i="18"/>
  <c r="O32" i="18"/>
  <c r="M32" i="18"/>
  <c r="L32" i="18"/>
  <c r="G32" i="18"/>
  <c r="U30" i="18"/>
  <c r="T30" i="18"/>
  <c r="S30" i="18"/>
  <c r="R30" i="18"/>
  <c r="P30" i="18"/>
  <c r="L30" i="18"/>
  <c r="U29" i="18"/>
  <c r="T29" i="18"/>
  <c r="S29" i="18"/>
  <c r="R29" i="18"/>
  <c r="P29" i="18"/>
  <c r="O29" i="18"/>
  <c r="P28" i="18"/>
  <c r="O28" i="18"/>
  <c r="M28" i="18"/>
  <c r="L28" i="18"/>
  <c r="Y27" i="18"/>
  <c r="X27" i="18"/>
  <c r="W27" i="18"/>
  <c r="U27" i="18"/>
  <c r="T27" i="18"/>
  <c r="S27" i="18"/>
  <c r="R27" i="18"/>
  <c r="U25" i="18"/>
  <c r="T25" i="18"/>
  <c r="S25" i="18"/>
  <c r="R25" i="18"/>
  <c r="P25" i="18"/>
  <c r="O25" i="18"/>
  <c r="M25" i="18"/>
  <c r="L25" i="18"/>
  <c r="Y24" i="18"/>
  <c r="X24" i="18"/>
  <c r="W24" i="18"/>
  <c r="U24" i="18"/>
  <c r="T24" i="18"/>
  <c r="S24" i="18"/>
  <c r="R24" i="18"/>
  <c r="U22" i="18"/>
  <c r="T22" i="18"/>
  <c r="S22" i="18"/>
  <c r="R22" i="18"/>
  <c r="P22" i="18"/>
  <c r="O22" i="18"/>
  <c r="M22" i="18"/>
  <c r="L22" i="18"/>
  <c r="U18" i="18"/>
  <c r="T18" i="18"/>
  <c r="S18" i="18"/>
  <c r="R18" i="18"/>
  <c r="P18" i="18"/>
  <c r="O18" i="18"/>
  <c r="M18" i="18"/>
  <c r="L18" i="18"/>
  <c r="U17" i="18"/>
  <c r="T17" i="18"/>
  <c r="S17" i="18"/>
  <c r="R17" i="18"/>
  <c r="P17" i="18"/>
  <c r="O17" i="18"/>
  <c r="M17" i="18"/>
  <c r="L17" i="18"/>
  <c r="U14" i="18"/>
  <c r="T14" i="18"/>
  <c r="S14" i="18"/>
  <c r="R14" i="18"/>
  <c r="P14" i="18"/>
  <c r="O14" i="18"/>
  <c r="M14" i="18"/>
  <c r="L14" i="18"/>
  <c r="U10" i="18"/>
  <c r="T10" i="18"/>
  <c r="S10" i="18"/>
  <c r="R10" i="18"/>
  <c r="P10" i="18"/>
  <c r="O10" i="18"/>
  <c r="M10" i="18"/>
  <c r="L10" i="18"/>
  <c r="U9" i="18"/>
  <c r="T9" i="18"/>
  <c r="S9" i="18"/>
  <c r="R9" i="18"/>
  <c r="P9" i="18"/>
  <c r="O9" i="18"/>
  <c r="M9" i="18"/>
  <c r="L9" i="18"/>
  <c r="Y8" i="18"/>
  <c r="X8" i="18"/>
  <c r="W8" i="18"/>
  <c r="W34" i="18" s="1"/>
  <c r="Y6" i="18"/>
  <c r="X6" i="18"/>
  <c r="W6" i="18"/>
  <c r="AU304" i="10"/>
  <c r="G429" i="17"/>
  <c r="G428" i="17"/>
  <c r="G427" i="17"/>
  <c r="G426" i="17"/>
  <c r="G425" i="17"/>
  <c r="G424" i="17"/>
  <c r="G423" i="17"/>
  <c r="G422" i="17"/>
  <c r="G421" i="17"/>
  <c r="G420" i="17"/>
  <c r="G419" i="17"/>
  <c r="G418" i="17"/>
  <c r="G417" i="17"/>
  <c r="G416" i="17"/>
  <c r="G415" i="17"/>
  <c r="G414" i="17"/>
  <c r="G413" i="17"/>
  <c r="G412" i="17"/>
  <c r="G411" i="17"/>
  <c r="G410" i="17"/>
  <c r="G409" i="17"/>
  <c r="G408" i="17"/>
  <c r="G407" i="17"/>
  <c r="G406" i="17"/>
  <c r="G405" i="17"/>
  <c r="G404" i="17"/>
  <c r="G403" i="17"/>
  <c r="G402" i="17"/>
  <c r="G401" i="17"/>
  <c r="G400" i="17"/>
  <c r="G399" i="17"/>
  <c r="G398" i="17"/>
  <c r="G397" i="17"/>
  <c r="G396" i="17"/>
  <c r="G395" i="17"/>
  <c r="G394" i="17"/>
  <c r="G393" i="17"/>
  <c r="G392" i="17"/>
  <c r="G391" i="17"/>
  <c r="G390" i="17"/>
  <c r="G389" i="17"/>
  <c r="G388" i="17"/>
  <c r="G387" i="17"/>
  <c r="G386" i="17"/>
  <c r="G385" i="17"/>
  <c r="G384" i="17"/>
  <c r="G383" i="17"/>
  <c r="G382" i="17"/>
  <c r="I381" i="17"/>
  <c r="H381" i="17"/>
  <c r="D376" i="17"/>
  <c r="C376" i="17"/>
  <c r="B361" i="17"/>
  <c r="D255" i="17"/>
  <c r="E271" i="17" s="1"/>
  <c r="C255" i="17"/>
  <c r="L240" i="17"/>
  <c r="B240" i="17"/>
  <c r="N134" i="17"/>
  <c r="M134" i="17"/>
  <c r="D134" i="17"/>
  <c r="C134" i="17"/>
  <c r="D107" i="17"/>
  <c r="D106" i="17"/>
  <c r="D105" i="17"/>
  <c r="D100" i="17"/>
  <c r="D99" i="17"/>
  <c r="D98" i="17"/>
  <c r="D97" i="17"/>
  <c r="D96" i="17"/>
  <c r="D95" i="17"/>
  <c r="D84" i="17"/>
  <c r="C84" i="17"/>
  <c r="I83" i="17"/>
  <c r="E107" i="17" s="1"/>
  <c r="F107" i="17" s="1"/>
  <c r="I82" i="17"/>
  <c r="E106" i="17" s="1"/>
  <c r="F106" i="17" s="1"/>
  <c r="I81" i="17"/>
  <c r="E105" i="17" s="1"/>
  <c r="F105" i="17" s="1"/>
  <c r="F80" i="17"/>
  <c r="H80" i="17" s="1"/>
  <c r="E80" i="17"/>
  <c r="F79" i="17"/>
  <c r="H79" i="17" s="1"/>
  <c r="E79" i="17"/>
  <c r="F78" i="17"/>
  <c r="H78" i="17" s="1"/>
  <c r="E78" i="17"/>
  <c r="F77" i="17"/>
  <c r="H77" i="17" s="1"/>
  <c r="B77" i="17"/>
  <c r="E77" i="17" s="1"/>
  <c r="H76" i="17"/>
  <c r="B76" i="17"/>
  <c r="H75" i="17"/>
  <c r="E75" i="17"/>
  <c r="H74" i="17"/>
  <c r="E74" i="17"/>
  <c r="H73" i="17"/>
  <c r="E73" i="17"/>
  <c r="H72" i="17"/>
  <c r="E72" i="17"/>
  <c r="H71" i="17"/>
  <c r="E71" i="17"/>
  <c r="K24" i="17"/>
  <c r="H24" i="17"/>
  <c r="F24" i="17"/>
  <c r="E24" i="17"/>
  <c r="D24" i="17"/>
  <c r="C24" i="17"/>
  <c r="L23" i="17"/>
  <c r="I23" i="17"/>
  <c r="L22" i="17"/>
  <c r="I22" i="17"/>
  <c r="L21" i="17"/>
  <c r="I21" i="17"/>
  <c r="L20" i="17"/>
  <c r="I20" i="17"/>
  <c r="L19" i="17"/>
  <c r="I19" i="17"/>
  <c r="L18" i="17"/>
  <c r="I18" i="17"/>
  <c r="J17" i="17"/>
  <c r="L17" i="17" s="1"/>
  <c r="B17" i="17"/>
  <c r="I17" i="17" s="1"/>
  <c r="J16" i="17"/>
  <c r="G16" i="17"/>
  <c r="B16" i="17"/>
  <c r="L15" i="17"/>
  <c r="G15" i="17"/>
  <c r="I15" i="17" s="1"/>
  <c r="L14" i="17"/>
  <c r="G14" i="17"/>
  <c r="I14" i="17" s="1"/>
  <c r="L13" i="17"/>
  <c r="G13" i="17"/>
  <c r="I13" i="17" s="1"/>
  <c r="L12" i="17"/>
  <c r="G12" i="17"/>
  <c r="I12" i="17" s="1"/>
  <c r="L11" i="17"/>
  <c r="G11" i="17"/>
  <c r="I11" i="17" s="1"/>
  <c r="AS306" i="10"/>
  <c r="AQ312" i="10"/>
  <c r="AO314" i="10"/>
  <c r="C58" i="22"/>
  <c r="C102" i="18"/>
  <c r="C147" i="18"/>
  <c r="AM304" i="10"/>
  <c r="B484" i="10"/>
  <c r="H430" i="10"/>
  <c r="J381" i="10"/>
  <c r="AG322" i="10"/>
  <c r="AE307" i="10"/>
  <c r="AI306" i="10"/>
  <c r="AK300" i="10"/>
  <c r="N296" i="10"/>
  <c r="P287" i="10"/>
  <c r="L283" i="10"/>
  <c r="T281" i="10"/>
  <c r="AA280" i="10"/>
  <c r="X279" i="10"/>
  <c r="AC273" i="10"/>
  <c r="R273" i="10"/>
  <c r="V270" i="10"/>
  <c r="E18" i="22"/>
  <c r="C18" i="22"/>
  <c r="G7" i="5"/>
  <c r="G8" i="5"/>
  <c r="G9" i="5"/>
  <c r="E427" i="17"/>
  <c r="L16" i="17"/>
  <c r="O166" i="17"/>
  <c r="O182" i="17"/>
  <c r="O198" i="17"/>
  <c r="O230" i="17"/>
  <c r="E146" i="17"/>
  <c r="E162" i="17"/>
  <c r="E194" i="17"/>
  <c r="E210" i="17"/>
  <c r="E226" i="17"/>
  <c r="B104" i="17"/>
  <c r="I507" i="18"/>
  <c r="W9" i="18"/>
  <c r="Y9" i="18"/>
  <c r="W17" i="18"/>
  <c r="W29" i="18"/>
  <c r="W36" i="18"/>
  <c r="Y36" i="18"/>
  <c r="W37" i="18"/>
  <c r="W10" i="18"/>
  <c r="Y10" i="18"/>
  <c r="W14" i="18"/>
  <c r="X17" i="18"/>
  <c r="W18" i="18"/>
  <c r="Y18" i="18"/>
  <c r="W22" i="18"/>
  <c r="W25" i="18"/>
  <c r="Y25" i="18"/>
  <c r="W30" i="18"/>
  <c r="W32" i="18"/>
  <c r="Y32" i="18"/>
  <c r="W33" i="18"/>
  <c r="W248" i="18"/>
  <c r="W255" i="18"/>
  <c r="Y258" i="18"/>
  <c r="X247" i="18"/>
  <c r="Y247" i="18"/>
  <c r="W54" i="18"/>
  <c r="Y54" i="18"/>
  <c r="W61" i="18"/>
  <c r="T71" i="18"/>
  <c r="L73" i="18"/>
  <c r="L79" i="18" s="1"/>
  <c r="W73" i="18"/>
  <c r="W80" i="18"/>
  <c r="Y80" i="18"/>
  <c r="W81" i="18"/>
  <c r="X97" i="18"/>
  <c r="Y98" i="18"/>
  <c r="X102" i="18"/>
  <c r="X104" i="18"/>
  <c r="Y105" i="18"/>
  <c r="X106" i="18"/>
  <c r="W109" i="18"/>
  <c r="Y112" i="18"/>
  <c r="X113" i="18"/>
  <c r="W117" i="18"/>
  <c r="Y120" i="18"/>
  <c r="Y121" i="18"/>
  <c r="X123" i="18"/>
  <c r="W126" i="18"/>
  <c r="W142" i="18"/>
  <c r="X143" i="18"/>
  <c r="Y149" i="18"/>
  <c r="X150" i="18"/>
  <c r="W151" i="18"/>
  <c r="Y155" i="18"/>
  <c r="X157" i="18"/>
  <c r="Y158" i="18"/>
  <c r="X160" i="18"/>
  <c r="X162" i="18"/>
  <c r="W165" i="18"/>
  <c r="W166" i="18"/>
  <c r="X167" i="18"/>
  <c r="W170" i="18"/>
  <c r="W171" i="18"/>
  <c r="R187" i="18"/>
  <c r="X188" i="18"/>
  <c r="Y194" i="18"/>
  <c r="X196" i="18"/>
  <c r="T202" i="18"/>
  <c r="R207" i="18"/>
  <c r="T207" i="18"/>
  <c r="Y208" i="18"/>
  <c r="E210" i="18"/>
  <c r="Y210" i="18"/>
  <c r="T211" i="18"/>
  <c r="Y211" i="18"/>
  <c r="R212" i="18"/>
  <c r="T212" i="18"/>
  <c r="Y212" i="18"/>
  <c r="T213" i="18"/>
  <c r="Y213" i="18"/>
  <c r="Y232" i="18"/>
  <c r="X233" i="18"/>
  <c r="W237" i="18"/>
  <c r="W239" i="18"/>
  <c r="Y239" i="18"/>
  <c r="X240" i="18"/>
  <c r="X241" i="18"/>
  <c r="R454" i="18"/>
  <c r="X258" i="18"/>
  <c r="X248" i="18"/>
  <c r="W53" i="18"/>
  <c r="Y53" i="18"/>
  <c r="X54" i="18"/>
  <c r="W58" i="18"/>
  <c r="Y58" i="18"/>
  <c r="W62" i="18"/>
  <c r="W66" i="18"/>
  <c r="Y66" i="18"/>
  <c r="W69" i="18"/>
  <c r="W74" i="18"/>
  <c r="Y74" i="18"/>
  <c r="W76" i="18"/>
  <c r="W77" i="18"/>
  <c r="Y77" i="18"/>
  <c r="X80" i="18"/>
  <c r="Y97" i="18"/>
  <c r="X98" i="18"/>
  <c r="W102" i="18"/>
  <c r="X105" i="18"/>
  <c r="Y106" i="18"/>
  <c r="Y110" i="18"/>
  <c r="Y113" i="18"/>
  <c r="X117" i="18"/>
  <c r="Y118" i="18"/>
  <c r="X120" i="18"/>
  <c r="X121" i="18"/>
  <c r="X125" i="18"/>
  <c r="Y143" i="18"/>
  <c r="X147" i="18"/>
  <c r="W150" i="18"/>
  <c r="X158" i="18"/>
  <c r="O162" i="18"/>
  <c r="Y162" i="18"/>
  <c r="X165" i="18"/>
  <c r="X166" i="18"/>
  <c r="W167" i="18"/>
  <c r="X187" i="18"/>
  <c r="W188" i="18"/>
  <c r="Y188" i="18"/>
  <c r="X194" i="18"/>
  <c r="W195" i="18"/>
  <c r="Y195" i="18"/>
  <c r="Y196" i="18"/>
  <c r="W200" i="18"/>
  <c r="Y200" i="18"/>
  <c r="Y203" i="18"/>
  <c r="S207" i="18"/>
  <c r="S208" i="18"/>
  <c r="S211" i="18"/>
  <c r="S212" i="18"/>
  <c r="Y215" i="18"/>
  <c r="X232" i="18"/>
  <c r="Y233" i="18"/>
  <c r="X237" i="18"/>
  <c r="W240" i="18"/>
  <c r="W241" i="18"/>
  <c r="W245" i="18"/>
  <c r="R252" i="18"/>
  <c r="R263" i="18" s="1"/>
  <c r="T252" i="18"/>
  <c r="T253" i="18"/>
  <c r="T255" i="18"/>
  <c r="R256" i="18"/>
  <c r="E257" i="18"/>
  <c r="R257" i="18"/>
  <c r="T257" i="18"/>
  <c r="T258" i="18"/>
  <c r="U277" i="18"/>
  <c r="W278" i="18"/>
  <c r="X282" i="18"/>
  <c r="X284" i="18"/>
  <c r="W286" i="18"/>
  <c r="U292" i="18"/>
  <c r="X292" i="18"/>
  <c r="W293" i="18"/>
  <c r="X295" i="18"/>
  <c r="X297" i="18"/>
  <c r="T298" i="18"/>
  <c r="M299" i="18"/>
  <c r="U299" i="18"/>
  <c r="X299" i="18"/>
  <c r="G300" i="18"/>
  <c r="U300" i="18"/>
  <c r="S301" i="18"/>
  <c r="U301" i="18"/>
  <c r="X301" i="18"/>
  <c r="G302" i="18"/>
  <c r="S302" i="18"/>
  <c r="U302" i="18"/>
  <c r="X302" i="18"/>
  <c r="R304" i="18"/>
  <c r="T304" i="18"/>
  <c r="W304" i="18"/>
  <c r="Y304" i="18"/>
  <c r="K305" i="18"/>
  <c r="S305" i="18"/>
  <c r="U305" i="18"/>
  <c r="X305" i="18"/>
  <c r="Z305" i="18"/>
  <c r="Z309" i="18" s="1"/>
  <c r="R306" i="18"/>
  <c r="T306" i="18"/>
  <c r="Y306" i="18"/>
  <c r="K327" i="18"/>
  <c r="X327" i="18" s="1"/>
  <c r="S327" i="18"/>
  <c r="U327" i="18"/>
  <c r="W328" i="18"/>
  <c r="W334" i="18"/>
  <c r="Y334" i="18"/>
  <c r="X335" i="18"/>
  <c r="X336" i="18"/>
  <c r="X340" i="18"/>
  <c r="T342" i="18"/>
  <c r="Y342" i="18"/>
  <c r="X343" i="18"/>
  <c r="T345" i="18"/>
  <c r="Y345" i="18"/>
  <c r="L347" i="18"/>
  <c r="L354" i="18" s="1"/>
  <c r="R347" i="18"/>
  <c r="T347" i="18"/>
  <c r="W347" i="18"/>
  <c r="R348" i="18"/>
  <c r="T348" i="18"/>
  <c r="W348" i="18"/>
  <c r="M349" i="18"/>
  <c r="S349" i="18"/>
  <c r="U349" i="18"/>
  <c r="X349" i="18"/>
  <c r="G350" i="18"/>
  <c r="S350" i="18"/>
  <c r="U350" i="18"/>
  <c r="X350" i="18"/>
  <c r="S351" i="18"/>
  <c r="U351" i="18"/>
  <c r="X351" i="18"/>
  <c r="G352" i="18"/>
  <c r="S352" i="18"/>
  <c r="U352" i="18"/>
  <c r="X352" i="18"/>
  <c r="W353" i="18"/>
  <c r="R354" i="18"/>
  <c r="T354" i="18"/>
  <c r="Y354" i="18"/>
  <c r="K355" i="18"/>
  <c r="S355" i="18"/>
  <c r="U355" i="18"/>
  <c r="X355" i="18"/>
  <c r="Z355" i="18"/>
  <c r="Z359" i="18" s="1"/>
  <c r="R356" i="18"/>
  <c r="T356" i="18"/>
  <c r="W356" i="18"/>
  <c r="Y356" i="18"/>
  <c r="K377" i="18"/>
  <c r="L397" i="18"/>
  <c r="L404" i="18" s="1"/>
  <c r="R399" i="18"/>
  <c r="E400" i="18"/>
  <c r="E402" i="18"/>
  <c r="R406" i="18"/>
  <c r="L443" i="18"/>
  <c r="L450" i="18" s="1"/>
  <c r="R445" i="18"/>
  <c r="K450" i="18"/>
  <c r="K451" i="18"/>
  <c r="K452" i="18"/>
  <c r="S252" i="18"/>
  <c r="S253" i="18"/>
  <c r="S255" i="18"/>
  <c r="S257" i="18"/>
  <c r="R277" i="18"/>
  <c r="X278" i="18"/>
  <c r="W282" i="18"/>
  <c r="Y284" i="18"/>
  <c r="X286" i="18"/>
  <c r="X290" i="18"/>
  <c r="X293" i="18"/>
  <c r="X298" i="18"/>
  <c r="W299" i="18"/>
  <c r="W300" i="18"/>
  <c r="W301" i="18"/>
  <c r="R302" i="18"/>
  <c r="W302" i="18"/>
  <c r="K304" i="18"/>
  <c r="S304" i="18"/>
  <c r="X304" i="18"/>
  <c r="R305" i="18"/>
  <c r="K306" i="18"/>
  <c r="S306" i="18"/>
  <c r="R327" i="18"/>
  <c r="X328" i="18"/>
  <c r="X332" i="18"/>
  <c r="X334" i="18"/>
  <c r="W335" i="18"/>
  <c r="W340" i="18"/>
  <c r="W343" i="18"/>
  <c r="M347" i="18"/>
  <c r="S347" i="18"/>
  <c r="X347" i="18"/>
  <c r="S348" i="18"/>
  <c r="X348" i="18"/>
  <c r="R349" i="18"/>
  <c r="W349" i="18"/>
  <c r="R350" i="18"/>
  <c r="W350" i="18"/>
  <c r="R351" i="18"/>
  <c r="W351" i="18"/>
  <c r="R352" i="18"/>
  <c r="W352" i="18"/>
  <c r="X353" i="18"/>
  <c r="K354" i="18"/>
  <c r="S354" i="18"/>
  <c r="X354" i="18"/>
  <c r="R355" i="18"/>
  <c r="K356" i="18"/>
  <c r="S356" i="18"/>
  <c r="M397" i="18"/>
  <c r="M404" i="18" s="1"/>
  <c r="J507" i="18"/>
  <c r="E18" i="18"/>
  <c r="C18" i="18"/>
  <c r="F84" i="17"/>
  <c r="Y115" i="18"/>
  <c r="Y250" i="18"/>
  <c r="R404" i="18"/>
  <c r="O155" i="17"/>
  <c r="O171" i="17"/>
  <c r="O187" i="17"/>
  <c r="O203" i="17"/>
  <c r="O219" i="17"/>
  <c r="O235" i="17"/>
  <c r="E151" i="17"/>
  <c r="E167" i="17"/>
  <c r="E183" i="17"/>
  <c r="E199" i="17"/>
  <c r="E215" i="17"/>
  <c r="E231" i="17"/>
  <c r="E351" i="17"/>
  <c r="E335" i="17"/>
  <c r="E287" i="17"/>
  <c r="E396" i="17"/>
  <c r="L24" i="17"/>
  <c r="E239" i="17"/>
  <c r="E426" i="17"/>
  <c r="E269" i="17"/>
  <c r="E297" i="17"/>
  <c r="E305" i="17"/>
  <c r="E337" i="17"/>
  <c r="E237" i="17"/>
  <c r="E229" i="17"/>
  <c r="E221" i="17"/>
  <c r="E213" i="17"/>
  <c r="E205" i="17"/>
  <c r="E197" i="17"/>
  <c r="E189" i="17"/>
  <c r="E181" i="17"/>
  <c r="E173" i="17"/>
  <c r="E165" i="17"/>
  <c r="E157" i="17"/>
  <c r="E149" i="17"/>
  <c r="E141" i="17"/>
  <c r="O233" i="17"/>
  <c r="O225" i="17"/>
  <c r="O217" i="17"/>
  <c r="O209" i="17"/>
  <c r="O201" i="17"/>
  <c r="O193" i="17"/>
  <c r="O185" i="17"/>
  <c r="O177" i="17"/>
  <c r="O169" i="17"/>
  <c r="O161" i="17"/>
  <c r="O153" i="17"/>
  <c r="O145" i="17"/>
  <c r="E236" i="17"/>
  <c r="E228" i="17"/>
  <c r="E220" i="17"/>
  <c r="E212" i="17"/>
  <c r="E204" i="17"/>
  <c r="E196" i="17"/>
  <c r="E188" i="17"/>
  <c r="E180" i="17"/>
  <c r="E172" i="17"/>
  <c r="E164" i="17"/>
  <c r="E156" i="17"/>
  <c r="E148" i="17"/>
  <c r="E140" i="17"/>
  <c r="O232" i="17"/>
  <c r="O224" i="17"/>
  <c r="O216" i="17"/>
  <c r="O208" i="17"/>
  <c r="O200" i="17"/>
  <c r="O192" i="17"/>
  <c r="O184" i="17"/>
  <c r="O176" i="17"/>
  <c r="O168" i="17"/>
  <c r="O160" i="17"/>
  <c r="O152" i="17"/>
  <c r="O144" i="17"/>
  <c r="E423" i="17"/>
  <c r="E274" i="17"/>
  <c r="E322" i="17"/>
  <c r="E338" i="17"/>
  <c r="E500" i="17"/>
  <c r="E715" i="17"/>
  <c r="I663" i="17" s="1"/>
  <c r="E598" i="17"/>
  <c r="I546" i="17" s="1"/>
  <c r="E594" i="17"/>
  <c r="I542" i="17" s="1"/>
  <c r="E582" i="17"/>
  <c r="I530" i="17" s="1"/>
  <c r="E578" i="17"/>
  <c r="I526" i="17" s="1"/>
  <c r="E566" i="17"/>
  <c r="I514" i="17" s="1"/>
  <c r="E562" i="17"/>
  <c r="I510" i="17" s="1"/>
  <c r="E550" i="17"/>
  <c r="E546" i="17"/>
  <c r="E534" i="17"/>
  <c r="E530" i="17"/>
  <c r="E518" i="17"/>
  <c r="E514" i="17"/>
  <c r="E502" i="17"/>
  <c r="E716" i="17"/>
  <c r="I664" i="17" s="1"/>
  <c r="E629" i="17"/>
  <c r="E633" i="17"/>
  <c r="E645" i="17"/>
  <c r="E649" i="17"/>
  <c r="E661" i="17"/>
  <c r="E665" i="17"/>
  <c r="E677" i="17"/>
  <c r="I625" i="17" s="1"/>
  <c r="E681" i="17"/>
  <c r="I629" i="17" s="1"/>
  <c r="E693" i="17"/>
  <c r="I641" i="17" s="1"/>
  <c r="E697" i="17"/>
  <c r="I645" i="17" s="1"/>
  <c r="E709" i="17"/>
  <c r="I657" i="17" s="1"/>
  <c r="E713" i="17"/>
  <c r="I661" i="17" s="1"/>
  <c r="E336" i="17"/>
  <c r="E312" i="17"/>
  <c r="E304" i="17"/>
  <c r="E272" i="17"/>
  <c r="E478" i="17"/>
  <c r="I426" i="17" s="1"/>
  <c r="E476" i="17"/>
  <c r="I424" i="17" s="1"/>
  <c r="E470" i="17"/>
  <c r="I418" i="17" s="1"/>
  <c r="E468" i="17"/>
  <c r="I416" i="17" s="1"/>
  <c r="E462" i="17"/>
  <c r="I410" i="17" s="1"/>
  <c r="E460" i="17"/>
  <c r="I408" i="17" s="1"/>
  <c r="E454" i="17"/>
  <c r="I402" i="17" s="1"/>
  <c r="E452" i="17"/>
  <c r="I400" i="17" s="1"/>
  <c r="E446" i="17"/>
  <c r="I394" i="17" s="1"/>
  <c r="E444" i="17"/>
  <c r="I392" i="17" s="1"/>
  <c r="E438" i="17"/>
  <c r="I386" i="17" s="1"/>
  <c r="E436" i="17"/>
  <c r="I384" i="17" s="1"/>
  <c r="E421" i="17"/>
  <c r="E413" i="17"/>
  <c r="E389" i="17"/>
  <c r="E596" i="17"/>
  <c r="I544" i="17" s="1"/>
  <c r="E584" i="17"/>
  <c r="I532" i="17" s="1"/>
  <c r="E580" i="17"/>
  <c r="I528" i="17" s="1"/>
  <c r="E568" i="17"/>
  <c r="I516" i="17" s="1"/>
  <c r="E564" i="17"/>
  <c r="I512" i="17" s="1"/>
  <c r="E552" i="17"/>
  <c r="I500" i="17" s="1"/>
  <c r="E548" i="17"/>
  <c r="E536" i="17"/>
  <c r="E532" i="17"/>
  <c r="E520" i="17"/>
  <c r="E516" i="17"/>
  <c r="E504" i="17"/>
  <c r="E619" i="17"/>
  <c r="E631" i="17"/>
  <c r="E635" i="17"/>
  <c r="E647" i="17"/>
  <c r="E651" i="17"/>
  <c r="E663" i="17"/>
  <c r="E667" i="17"/>
  <c r="E679" i="17"/>
  <c r="I627" i="17" s="1"/>
  <c r="E683" i="17"/>
  <c r="I631" i="17" s="1"/>
  <c r="E695" i="17"/>
  <c r="I643" i="17" s="1"/>
  <c r="E699" i="17"/>
  <c r="I647" i="17" s="1"/>
  <c r="E711" i="17"/>
  <c r="I659" i="17" s="1"/>
  <c r="E867" i="17"/>
  <c r="E869" i="17"/>
  <c r="E871" i="17"/>
  <c r="E873" i="17"/>
  <c r="E875" i="17"/>
  <c r="E877" i="17"/>
  <c r="E879" i="17"/>
  <c r="E881" i="17"/>
  <c r="E883" i="17"/>
  <c r="E885" i="17"/>
  <c r="E887" i="17"/>
  <c r="E889" i="17"/>
  <c r="E891" i="17"/>
  <c r="E893" i="17"/>
  <c r="E895" i="17"/>
  <c r="E897" i="17"/>
  <c r="E899" i="17"/>
  <c r="E901" i="17"/>
  <c r="E903" i="17"/>
  <c r="E905" i="17"/>
  <c r="E907" i="17"/>
  <c r="E909" i="17"/>
  <c r="E911" i="17"/>
  <c r="E913" i="17"/>
  <c r="E915" i="17"/>
  <c r="E917" i="17"/>
  <c r="E919" i="17"/>
  <c r="I867" i="17" s="1"/>
  <c r="E921" i="17"/>
  <c r="I869" i="17" s="1"/>
  <c r="E923" i="17"/>
  <c r="I871" i="17" s="1"/>
  <c r="E925" i="17"/>
  <c r="I873" i="17" s="1"/>
  <c r="E927" i="17"/>
  <c r="I875" i="17" s="1"/>
  <c r="E929" i="17"/>
  <c r="I877" i="17" s="1"/>
  <c r="E931" i="17"/>
  <c r="I879" i="17" s="1"/>
  <c r="E933" i="17"/>
  <c r="I881" i="17" s="1"/>
  <c r="E935" i="17"/>
  <c r="I883" i="17" s="1"/>
  <c r="E937" i="17"/>
  <c r="I885" i="17" s="1"/>
  <c r="E939" i="17"/>
  <c r="I887" i="17" s="1"/>
  <c r="E941" i="17"/>
  <c r="I889" i="17" s="1"/>
  <c r="E943" i="17"/>
  <c r="I891" i="17" s="1"/>
  <c r="E945" i="17"/>
  <c r="I893" i="17" s="1"/>
  <c r="E947" i="17"/>
  <c r="I895" i="17" s="1"/>
  <c r="E949" i="17"/>
  <c r="I897" i="17" s="1"/>
  <c r="E951" i="17"/>
  <c r="I899" i="17" s="1"/>
  <c r="E953" i="17"/>
  <c r="I901" i="17" s="1"/>
  <c r="E955" i="17"/>
  <c r="I903" i="17" s="1"/>
  <c r="E957" i="17"/>
  <c r="I905" i="17" s="1"/>
  <c r="E959" i="17"/>
  <c r="I907" i="17" s="1"/>
  <c r="E961" i="17"/>
  <c r="I909" i="17" s="1"/>
  <c r="E963" i="17"/>
  <c r="I911" i="17" s="1"/>
  <c r="E965" i="17"/>
  <c r="I913" i="17" s="1"/>
  <c r="E597" i="17"/>
  <c r="I545" i="17" s="1"/>
  <c r="E595" i="17"/>
  <c r="I543" i="17" s="1"/>
  <c r="E589" i="17"/>
  <c r="I537" i="17" s="1"/>
  <c r="E587" i="17"/>
  <c r="I535" i="17" s="1"/>
  <c r="E581" i="17"/>
  <c r="I529" i="17" s="1"/>
  <c r="E579" i="17"/>
  <c r="I527" i="17" s="1"/>
  <c r="E573" i="17"/>
  <c r="I521" i="17" s="1"/>
  <c r="E571" i="17"/>
  <c r="I519" i="17" s="1"/>
  <c r="E565" i="17"/>
  <c r="I513" i="17" s="1"/>
  <c r="E563" i="17"/>
  <c r="I511" i="17" s="1"/>
  <c r="E557" i="17"/>
  <c r="I505" i="17" s="1"/>
  <c r="E555" i="17"/>
  <c r="I503" i="17" s="1"/>
  <c r="E549" i="17"/>
  <c r="E547" i="17"/>
  <c r="E541" i="17"/>
  <c r="E539" i="17"/>
  <c r="E533" i="17"/>
  <c r="E531" i="17"/>
  <c r="E525" i="17"/>
  <c r="E523" i="17"/>
  <c r="E517" i="17"/>
  <c r="E515" i="17"/>
  <c r="E513" i="17"/>
  <c r="E509" i="17"/>
  <c r="E507" i="17"/>
  <c r="E505" i="17"/>
  <c r="E618" i="17"/>
  <c r="E620" i="17"/>
  <c r="E622" i="17"/>
  <c r="E626" i="17"/>
  <c r="E628" i="17"/>
  <c r="E630" i="17"/>
  <c r="E632" i="17"/>
  <c r="E634" i="17"/>
  <c r="E636" i="17"/>
  <c r="E638" i="17"/>
  <c r="E640" i="17"/>
  <c r="E642" i="17"/>
  <c r="E644" i="17"/>
  <c r="E646" i="17"/>
  <c r="E648" i="17"/>
  <c r="E650" i="17"/>
  <c r="E652" i="17"/>
  <c r="E654" i="17"/>
  <c r="E656" i="17"/>
  <c r="E658" i="17"/>
  <c r="E660" i="17"/>
  <c r="E662" i="17"/>
  <c r="E664" i="17"/>
  <c r="E666" i="17"/>
  <c r="E668" i="17"/>
  <c r="E670" i="17"/>
  <c r="I618" i="17" s="1"/>
  <c r="E672" i="17"/>
  <c r="I620" i="17" s="1"/>
  <c r="E674" i="17"/>
  <c r="I622" i="17" s="1"/>
  <c r="E676" i="17"/>
  <c r="I624" i="17" s="1"/>
  <c r="E678" i="17"/>
  <c r="I626" i="17" s="1"/>
  <c r="E680" i="17"/>
  <c r="I628" i="17" s="1"/>
  <c r="E682" i="17"/>
  <c r="I630" i="17" s="1"/>
  <c r="E684" i="17"/>
  <c r="I632" i="17" s="1"/>
  <c r="E686" i="17"/>
  <c r="I634" i="17" s="1"/>
  <c r="E688" i="17"/>
  <c r="I636" i="17" s="1"/>
  <c r="E690" i="17"/>
  <c r="I638" i="17" s="1"/>
  <c r="E692" i="17"/>
  <c r="I640" i="17" s="1"/>
  <c r="E694" i="17"/>
  <c r="I642" i="17" s="1"/>
  <c r="E696" i="17"/>
  <c r="I644" i="17" s="1"/>
  <c r="E698" i="17"/>
  <c r="I646" i="17" s="1"/>
  <c r="E700" i="17"/>
  <c r="I648" i="17" s="1"/>
  <c r="E702" i="17"/>
  <c r="I650" i="17" s="1"/>
  <c r="E704" i="17"/>
  <c r="I652" i="17" s="1"/>
  <c r="E706" i="17"/>
  <c r="I654" i="17" s="1"/>
  <c r="E708" i="17"/>
  <c r="I656" i="17" s="1"/>
  <c r="E710" i="17"/>
  <c r="I658" i="17" s="1"/>
  <c r="E712" i="17"/>
  <c r="I660" i="17" s="1"/>
  <c r="E714" i="17"/>
  <c r="I662" i="17" s="1"/>
  <c r="E868" i="17"/>
  <c r="E870" i="17"/>
  <c r="E872" i="17"/>
  <c r="E874" i="17"/>
  <c r="E876" i="17"/>
  <c r="E878" i="17"/>
  <c r="E880" i="17"/>
  <c r="E882" i="17"/>
  <c r="E884" i="17"/>
  <c r="E886" i="17"/>
  <c r="E888" i="17"/>
  <c r="E890" i="17"/>
  <c r="E892" i="17"/>
  <c r="E894" i="17"/>
  <c r="E896" i="17"/>
  <c r="E898" i="17"/>
  <c r="E900" i="17"/>
  <c r="E902" i="17"/>
  <c r="E904" i="17"/>
  <c r="E906" i="17"/>
  <c r="E908" i="17"/>
  <c r="E910" i="17"/>
  <c r="E912" i="17"/>
  <c r="E914" i="17"/>
  <c r="E916" i="17"/>
  <c r="E918" i="17"/>
  <c r="I866" i="17" s="1"/>
  <c r="E920" i="17"/>
  <c r="I868" i="17" s="1"/>
  <c r="E922" i="17"/>
  <c r="I870" i="17" s="1"/>
  <c r="E924" i="17"/>
  <c r="I872" i="17" s="1"/>
  <c r="E926" i="17"/>
  <c r="I874" i="17" s="1"/>
  <c r="E928" i="17"/>
  <c r="I876" i="17" s="1"/>
  <c r="E930" i="17"/>
  <c r="I878" i="17" s="1"/>
  <c r="E932" i="17"/>
  <c r="I880" i="17" s="1"/>
  <c r="E934" i="17"/>
  <c r="I882" i="17" s="1"/>
  <c r="E936" i="17"/>
  <c r="I884" i="17" s="1"/>
  <c r="E938" i="17"/>
  <c r="I886" i="17" s="1"/>
  <c r="E940" i="17"/>
  <c r="I888" i="17" s="1"/>
  <c r="E942" i="17"/>
  <c r="I890" i="17" s="1"/>
  <c r="E944" i="17"/>
  <c r="I892" i="17" s="1"/>
  <c r="E946" i="17"/>
  <c r="I894" i="17" s="1"/>
  <c r="E948" i="17"/>
  <c r="I896" i="17" s="1"/>
  <c r="E950" i="17"/>
  <c r="I898" i="17" s="1"/>
  <c r="E952" i="17"/>
  <c r="I900" i="17" s="1"/>
  <c r="E954" i="17"/>
  <c r="I902" i="17" s="1"/>
  <c r="E956" i="17"/>
  <c r="I904" i="17" s="1"/>
  <c r="E958" i="17"/>
  <c r="I906" i="17" s="1"/>
  <c r="E960" i="17"/>
  <c r="I908" i="17" s="1"/>
  <c r="E962" i="17"/>
  <c r="I910" i="17" s="1"/>
  <c r="E964" i="17"/>
  <c r="I912" i="17" s="1"/>
  <c r="B966" i="17"/>
  <c r="E866" i="17"/>
  <c r="E846" i="17"/>
  <c r="E845" i="17"/>
  <c r="E844" i="17"/>
  <c r="E843" i="17"/>
  <c r="E842" i="17"/>
  <c r="E841" i="17"/>
  <c r="E840" i="17"/>
  <c r="E839" i="17"/>
  <c r="E838" i="17"/>
  <c r="E837" i="17"/>
  <c r="E836" i="17"/>
  <c r="E835" i="17"/>
  <c r="E834" i="17"/>
  <c r="E833" i="17"/>
  <c r="E832" i="17"/>
  <c r="E831" i="17"/>
  <c r="E830" i="17"/>
  <c r="E829" i="17"/>
  <c r="E828" i="17"/>
  <c r="E827" i="17"/>
  <c r="E826" i="17"/>
  <c r="E825" i="17"/>
  <c r="E824" i="17"/>
  <c r="E823" i="17"/>
  <c r="E822" i="17"/>
  <c r="E821" i="17"/>
  <c r="E820" i="17"/>
  <c r="E819" i="17"/>
  <c r="E818" i="17"/>
  <c r="E817" i="17"/>
  <c r="E816" i="17"/>
  <c r="E815" i="17"/>
  <c r="E814" i="17"/>
  <c r="E813" i="17"/>
  <c r="E812" i="17"/>
  <c r="E811" i="17"/>
  <c r="E810" i="17"/>
  <c r="E809" i="17"/>
  <c r="E808" i="17"/>
  <c r="E807" i="17"/>
  <c r="E806" i="17"/>
  <c r="E805" i="17"/>
  <c r="E804" i="17"/>
  <c r="E803" i="17"/>
  <c r="E802" i="17"/>
  <c r="E801" i="17"/>
  <c r="E800" i="17"/>
  <c r="E799" i="17"/>
  <c r="E798" i="17"/>
  <c r="E797" i="17"/>
  <c r="E796" i="17"/>
  <c r="E795" i="17"/>
  <c r="E794" i="17"/>
  <c r="E793" i="17"/>
  <c r="E792" i="17"/>
  <c r="E791" i="17"/>
  <c r="E790" i="17"/>
  <c r="E789" i="17"/>
  <c r="E788" i="17"/>
  <c r="E787" i="17"/>
  <c r="E786" i="17"/>
  <c r="E785" i="17"/>
  <c r="E784" i="17"/>
  <c r="E783" i="17"/>
  <c r="E782" i="17"/>
  <c r="E781" i="17"/>
  <c r="E780" i="17"/>
  <c r="E779" i="17"/>
  <c r="E778" i="17"/>
  <c r="E777" i="17"/>
  <c r="E776" i="17"/>
  <c r="E775" i="17"/>
  <c r="E774" i="17"/>
  <c r="E773" i="17"/>
  <c r="E772" i="17"/>
  <c r="E771" i="17"/>
  <c r="E770" i="17"/>
  <c r="E769" i="17"/>
  <c r="E768" i="17"/>
  <c r="E767" i="17"/>
  <c r="E766" i="17"/>
  <c r="E765" i="17"/>
  <c r="E764" i="17"/>
  <c r="E763" i="17"/>
  <c r="E762" i="17"/>
  <c r="E761" i="17"/>
  <c r="E760" i="17"/>
  <c r="E759" i="17"/>
  <c r="E758" i="17"/>
  <c r="E757" i="17"/>
  <c r="E756" i="17"/>
  <c r="E755" i="17"/>
  <c r="E754" i="17"/>
  <c r="E753" i="17"/>
  <c r="E752" i="17"/>
  <c r="E751" i="17"/>
  <c r="E750" i="17"/>
  <c r="E749" i="17"/>
  <c r="E748" i="17"/>
  <c r="E747" i="17"/>
  <c r="C405" i="18"/>
  <c r="E745" i="22"/>
  <c r="C237" i="18"/>
  <c r="C237" i="22"/>
  <c r="C147" i="22"/>
  <c r="C102" i="22"/>
  <c r="C192" i="18"/>
  <c r="C355" i="22"/>
  <c r="E129" i="18"/>
  <c r="D174" i="22"/>
  <c r="X109" i="22" l="1"/>
  <c r="X104" i="22"/>
  <c r="Y123" i="22"/>
  <c r="Y120" i="22"/>
  <c r="Y102" i="22"/>
  <c r="Y113" i="22"/>
  <c r="Y121" i="22"/>
  <c r="Y126" i="22"/>
  <c r="Y97" i="22"/>
  <c r="W170" i="22"/>
  <c r="W158" i="22"/>
  <c r="W162" i="22"/>
  <c r="W151" i="22"/>
  <c r="W166" i="22"/>
  <c r="W155" i="22"/>
  <c r="W147" i="22"/>
  <c r="W173" i="22" s="1"/>
  <c r="X160" i="22"/>
  <c r="Y160" i="22"/>
  <c r="T187" i="22"/>
  <c r="U187" i="22"/>
  <c r="R187" i="22"/>
  <c r="W258" i="22"/>
  <c r="W241" i="22"/>
  <c r="W232" i="22"/>
  <c r="W253" i="22"/>
  <c r="W248" i="22"/>
  <c r="T258" i="22"/>
  <c r="S258" i="22"/>
  <c r="R258" i="22"/>
  <c r="U258" i="22"/>
  <c r="S277" i="22"/>
  <c r="R277" i="22"/>
  <c r="U292" i="22"/>
  <c r="T292" i="22"/>
  <c r="U295" i="22"/>
  <c r="T295" i="22"/>
  <c r="Y301" i="22"/>
  <c r="W301" i="22"/>
  <c r="X339" i="22"/>
  <c r="X334" i="22"/>
  <c r="X353" i="22"/>
  <c r="X349" i="22"/>
  <c r="X351" i="22"/>
  <c r="X347" i="22"/>
  <c r="X354" i="22"/>
  <c r="U349" i="22"/>
  <c r="R349" i="22"/>
  <c r="Y354" i="22"/>
  <c r="Z354" i="22"/>
  <c r="K500" i="22"/>
  <c r="R500" i="22"/>
  <c r="S500" i="22" s="1"/>
  <c r="K549" i="22"/>
  <c r="R549" i="22"/>
  <c r="X21" i="18"/>
  <c r="X16" i="18"/>
  <c r="Y78" i="18"/>
  <c r="Y61" i="18"/>
  <c r="Y73" i="18"/>
  <c r="Y81" i="18"/>
  <c r="X149" i="18"/>
  <c r="X154" i="18"/>
  <c r="U205" i="18"/>
  <c r="U218" i="18" s="1"/>
  <c r="T205" i="18"/>
  <c r="X328" i="22"/>
  <c r="W257" i="22"/>
  <c r="Z306" i="22"/>
  <c r="Y284" i="22"/>
  <c r="X250" i="22"/>
  <c r="S187" i="22"/>
  <c r="T157" i="22"/>
  <c r="T173" i="22" s="1"/>
  <c r="W150" i="22"/>
  <c r="W142" i="22"/>
  <c r="W169" i="22" s="1"/>
  <c r="Y71" i="22"/>
  <c r="L169" i="22"/>
  <c r="W168" i="22"/>
  <c r="W16" i="22"/>
  <c r="W21" i="22"/>
  <c r="X37" i="22"/>
  <c r="X18" i="22"/>
  <c r="X25" i="22"/>
  <c r="X35" i="22" s="1"/>
  <c r="X32" i="22"/>
  <c r="X10" i="22"/>
  <c r="X33" i="22"/>
  <c r="X81" i="22"/>
  <c r="X69" i="22"/>
  <c r="X74" i="22"/>
  <c r="X54" i="22"/>
  <c r="X80" i="22"/>
  <c r="X53" i="22"/>
  <c r="X66" i="22"/>
  <c r="X76" i="22"/>
  <c r="O74" i="22"/>
  <c r="O79" i="22" s="1"/>
  <c r="Y104" i="22"/>
  <c r="Y109" i="22"/>
  <c r="R128" i="22"/>
  <c r="U115" i="22"/>
  <c r="U128" i="22" s="1"/>
  <c r="T115" i="22"/>
  <c r="X150" i="22"/>
  <c r="X171" i="22"/>
  <c r="X163" i="22"/>
  <c r="X147" i="22"/>
  <c r="X168" i="22"/>
  <c r="X170" i="22"/>
  <c r="X158" i="22"/>
  <c r="O162" i="22"/>
  <c r="O163" i="22" s="1"/>
  <c r="O173" i="22"/>
  <c r="W213" i="22"/>
  <c r="W195" i="22"/>
  <c r="W214" i="22" s="1"/>
  <c r="W200" i="22"/>
  <c r="W207" i="22"/>
  <c r="W188" i="22"/>
  <c r="W215" i="22"/>
  <c r="W187" i="22"/>
  <c r="W210" i="22"/>
  <c r="P214" i="22"/>
  <c r="T210" i="22"/>
  <c r="R210" i="22"/>
  <c r="W244" i="22"/>
  <c r="W239" i="22"/>
  <c r="X248" i="22"/>
  <c r="X237" i="22"/>
  <c r="X245" i="22"/>
  <c r="X232" i="22"/>
  <c r="X253" i="22"/>
  <c r="Y247" i="22"/>
  <c r="X247" i="22"/>
  <c r="T252" i="22"/>
  <c r="S252" i="22"/>
  <c r="S263" i="22" s="1"/>
  <c r="U252" i="22"/>
  <c r="R252" i="22"/>
  <c r="T253" i="22"/>
  <c r="U253" i="22"/>
  <c r="T257" i="22"/>
  <c r="S257" i="22"/>
  <c r="R257" i="22"/>
  <c r="O308" i="22"/>
  <c r="O309" i="22" s="1"/>
  <c r="G302" i="22"/>
  <c r="E302" i="22"/>
  <c r="T304" i="22"/>
  <c r="S304" i="22"/>
  <c r="R304" i="22"/>
  <c r="U304" i="22"/>
  <c r="Y305" i="22"/>
  <c r="W305" i="22"/>
  <c r="S327" i="22"/>
  <c r="R327" i="22"/>
  <c r="O358" i="22"/>
  <c r="O359" i="22" s="1"/>
  <c r="R356" i="22"/>
  <c r="R359" i="22" s="1"/>
  <c r="U356" i="22"/>
  <c r="E402" i="22"/>
  <c r="G402" i="22"/>
  <c r="M427" i="22"/>
  <c r="M443" i="22" s="1"/>
  <c r="M450" i="22" s="1"/>
  <c r="K427" i="22"/>
  <c r="L489" i="22"/>
  <c r="L499" i="22" s="1"/>
  <c r="M622" i="22"/>
  <c r="K622" i="22"/>
  <c r="G643" i="22"/>
  <c r="E643" i="22"/>
  <c r="O688" i="22"/>
  <c r="Y34" i="18"/>
  <c r="Y29" i="18"/>
  <c r="Y37" i="18"/>
  <c r="Y14" i="18"/>
  <c r="E280" i="17"/>
  <c r="E344" i="17"/>
  <c r="E329" i="17"/>
  <c r="S358" i="18"/>
  <c r="W336" i="18"/>
  <c r="X303" i="18"/>
  <c r="R301" i="18"/>
  <c r="W297" i="18"/>
  <c r="X285" i="18"/>
  <c r="S263" i="18"/>
  <c r="E448" i="18"/>
  <c r="W354" i="18"/>
  <c r="R358" i="18"/>
  <c r="W332" i="18"/>
  <c r="R255" i="18"/>
  <c r="T250" i="18"/>
  <c r="S218" i="18"/>
  <c r="Y76" i="18"/>
  <c r="Y69" i="18"/>
  <c r="Y62" i="18"/>
  <c r="Y163" i="18"/>
  <c r="X60" i="18"/>
  <c r="Y33" i="18"/>
  <c r="Y30" i="18"/>
  <c r="Y22" i="18"/>
  <c r="Y17" i="18"/>
  <c r="O150" i="17"/>
  <c r="O214" i="17"/>
  <c r="E178" i="17"/>
  <c r="R83" i="18"/>
  <c r="X126" i="18"/>
  <c r="X110" i="18"/>
  <c r="X118" i="18"/>
  <c r="X124" i="18" s="1"/>
  <c r="T160" i="18"/>
  <c r="U160" i="18"/>
  <c r="G165" i="18"/>
  <c r="E165" i="18"/>
  <c r="R622" i="22"/>
  <c r="K451" i="22"/>
  <c r="R427" i="22"/>
  <c r="X348" i="22"/>
  <c r="Y345" i="22"/>
  <c r="Y194" i="22"/>
  <c r="X352" i="22"/>
  <c r="X257" i="22"/>
  <c r="X255" i="22"/>
  <c r="W233" i="22"/>
  <c r="Y110" i="22"/>
  <c r="X73" i="22"/>
  <c r="X83" i="22" s="1"/>
  <c r="X61" i="22"/>
  <c r="X165" i="22"/>
  <c r="Y117" i="22"/>
  <c r="Y98" i="22"/>
  <c r="X78" i="22"/>
  <c r="W65" i="22"/>
  <c r="X58" i="22"/>
  <c r="X34" i="22"/>
  <c r="W163" i="22"/>
  <c r="S83" i="18"/>
  <c r="M162" i="18"/>
  <c r="O208" i="18"/>
  <c r="O214" i="18" s="1"/>
  <c r="O219" i="18" s="1"/>
  <c r="O218" i="18"/>
  <c r="O358" i="18"/>
  <c r="O359" i="18" s="1"/>
  <c r="S128" i="22"/>
  <c r="P169" i="22"/>
  <c r="Y258" i="22"/>
  <c r="P263" i="22"/>
  <c r="W306" i="22"/>
  <c r="M21" i="17"/>
  <c r="O30" i="18"/>
  <c r="O35" i="18" s="1"/>
  <c r="O74" i="18"/>
  <c r="O79" i="18" s="1"/>
  <c r="O83" i="18"/>
  <c r="U263" i="18"/>
  <c r="O128" i="22"/>
  <c r="L252" i="22"/>
  <c r="L259" i="22" s="1"/>
  <c r="O298" i="22"/>
  <c r="M347" i="22"/>
  <c r="M397" i="22"/>
  <c r="O444" i="22"/>
  <c r="O30" i="22"/>
  <c r="O35" i="22" s="1"/>
  <c r="P308" i="22"/>
  <c r="P309" i="22" s="1"/>
  <c r="P358" i="22"/>
  <c r="O704" i="22"/>
  <c r="E32" i="20"/>
  <c r="E34" i="20" s="1"/>
  <c r="E35" i="20" s="1"/>
  <c r="B847" i="17"/>
  <c r="M499" i="22"/>
  <c r="O208" i="22"/>
  <c r="R263" i="22"/>
  <c r="M252" i="22"/>
  <c r="M259" i="22" s="1"/>
  <c r="O253" i="22"/>
  <c r="O259" i="22" s="1"/>
  <c r="P312" i="22"/>
  <c r="S358" i="22"/>
  <c r="M13" i="17"/>
  <c r="I75" i="17"/>
  <c r="E99" i="17" s="1"/>
  <c r="F99" i="17" s="1"/>
  <c r="L29" i="18"/>
  <c r="L35" i="18" s="1"/>
  <c r="Y187" i="18"/>
  <c r="Y207" i="18"/>
  <c r="L252" i="18"/>
  <c r="L259" i="18" s="1"/>
  <c r="W257" i="18"/>
  <c r="L117" i="22"/>
  <c r="T216" i="22"/>
  <c r="M638" i="22"/>
  <c r="M648" i="22" s="1"/>
  <c r="O639" i="22"/>
  <c r="Y358" i="18"/>
  <c r="L73" i="22"/>
  <c r="L79" i="22" s="1"/>
  <c r="T79" i="22"/>
  <c r="T84" i="22" s="1"/>
  <c r="O118" i="22"/>
  <c r="O124" i="22" s="1"/>
  <c r="P128" i="22"/>
  <c r="M162" i="22"/>
  <c r="M169" i="22" s="1"/>
  <c r="R527" i="22"/>
  <c r="O539" i="22"/>
  <c r="R546" i="22"/>
  <c r="M589" i="22"/>
  <c r="M599" i="22" s="1"/>
  <c r="E446" i="18"/>
  <c r="G446" i="18"/>
  <c r="E590" i="17"/>
  <c r="I538" i="17" s="1"/>
  <c r="E574" i="17"/>
  <c r="I522" i="17" s="1"/>
  <c r="E558" i="17"/>
  <c r="I506" i="17" s="1"/>
  <c r="E542" i="17"/>
  <c r="E526" i="17"/>
  <c r="E510" i="17"/>
  <c r="E592" i="17"/>
  <c r="I540" i="17" s="1"/>
  <c r="E576" i="17"/>
  <c r="I524" i="17" s="1"/>
  <c r="E560" i="17"/>
  <c r="I508" i="17" s="1"/>
  <c r="E544" i="17"/>
  <c r="E528" i="17"/>
  <c r="E512" i="17"/>
  <c r="E593" i="17"/>
  <c r="I541" i="17" s="1"/>
  <c r="E585" i="17"/>
  <c r="I533" i="17" s="1"/>
  <c r="E577" i="17"/>
  <c r="I525" i="17" s="1"/>
  <c r="E569" i="17"/>
  <c r="I517" i="17" s="1"/>
  <c r="E561" i="17"/>
  <c r="I509" i="17" s="1"/>
  <c r="E553" i="17"/>
  <c r="I501" i="17" s="1"/>
  <c r="E545" i="17"/>
  <c r="E537" i="17"/>
  <c r="E529" i="17"/>
  <c r="E521" i="17"/>
  <c r="E501" i="17"/>
  <c r="E586" i="17"/>
  <c r="I534" i="17" s="1"/>
  <c r="E570" i="17"/>
  <c r="I518" i="17" s="1"/>
  <c r="E554" i="17"/>
  <c r="I502" i="17" s="1"/>
  <c r="E538" i="17"/>
  <c r="E522" i="17"/>
  <c r="E506" i="17"/>
  <c r="E588" i="17"/>
  <c r="I536" i="17" s="1"/>
  <c r="E572" i="17"/>
  <c r="I520" i="17" s="1"/>
  <c r="E556" i="17"/>
  <c r="I504" i="17" s="1"/>
  <c r="E540" i="17"/>
  <c r="E524" i="17"/>
  <c r="E508" i="17"/>
  <c r="E599" i="17"/>
  <c r="I547" i="17" s="1"/>
  <c r="E591" i="17"/>
  <c r="I539" i="17" s="1"/>
  <c r="E583" i="17"/>
  <c r="I531" i="17" s="1"/>
  <c r="E575" i="17"/>
  <c r="I523" i="17" s="1"/>
  <c r="E567" i="17"/>
  <c r="I515" i="17" s="1"/>
  <c r="E559" i="17"/>
  <c r="I507" i="17" s="1"/>
  <c r="E551" i="17"/>
  <c r="E543" i="17"/>
  <c r="E535" i="17"/>
  <c r="E527" i="17"/>
  <c r="E519" i="17"/>
  <c r="E511" i="17"/>
  <c r="E503" i="17"/>
  <c r="E621" i="17"/>
  <c r="E637" i="17"/>
  <c r="E653" i="17"/>
  <c r="E669" i="17"/>
  <c r="E685" i="17"/>
  <c r="I633" i="17" s="1"/>
  <c r="E701" i="17"/>
  <c r="I649" i="17" s="1"/>
  <c r="E717" i="17"/>
  <c r="I665" i="17" s="1"/>
  <c r="E623" i="17"/>
  <c r="E639" i="17"/>
  <c r="E655" i="17"/>
  <c r="E671" i="17"/>
  <c r="I619" i="17" s="1"/>
  <c r="E687" i="17"/>
  <c r="I635" i="17" s="1"/>
  <c r="E703" i="17"/>
  <c r="I651" i="17" s="1"/>
  <c r="E625" i="17"/>
  <c r="E641" i="17"/>
  <c r="E719" i="17" s="1"/>
  <c r="E657" i="17"/>
  <c r="E673" i="17"/>
  <c r="I621" i="17" s="1"/>
  <c r="E689" i="17"/>
  <c r="I637" i="17" s="1"/>
  <c r="E705" i="17"/>
  <c r="I653" i="17" s="1"/>
  <c r="E627" i="17"/>
  <c r="E643" i="17"/>
  <c r="E659" i="17"/>
  <c r="E675" i="17"/>
  <c r="I623" i="17" s="1"/>
  <c r="E691" i="17"/>
  <c r="I639" i="17" s="1"/>
  <c r="E707" i="17"/>
  <c r="I655" i="17" s="1"/>
  <c r="E624" i="17"/>
  <c r="E334" i="17"/>
  <c r="E350" i="17"/>
  <c r="E318" i="17"/>
  <c r="E286" i="17"/>
  <c r="E319" i="17"/>
  <c r="E281" i="17"/>
  <c r="E313" i="17"/>
  <c r="E345" i="17"/>
  <c r="E290" i="17"/>
  <c r="E328" i="17"/>
  <c r="E296" i="17"/>
  <c r="E264" i="17"/>
  <c r="E303" i="17"/>
  <c r="E289" i="17"/>
  <c r="E321" i="17"/>
  <c r="E353" i="17"/>
  <c r="E306" i="17"/>
  <c r="E352" i="17"/>
  <c r="E320" i="17"/>
  <c r="E288" i="17"/>
  <c r="E395" i="17"/>
  <c r="E428" i="17"/>
  <c r="E394" i="17"/>
  <c r="E391" i="17"/>
  <c r="E474" i="17"/>
  <c r="I422" i="17" s="1"/>
  <c r="E466" i="17"/>
  <c r="I414" i="17" s="1"/>
  <c r="E458" i="17"/>
  <c r="I406" i="17" s="1"/>
  <c r="E450" i="17"/>
  <c r="I398" i="17" s="1"/>
  <c r="E442" i="17"/>
  <c r="I390" i="17" s="1"/>
  <c r="E434" i="17"/>
  <c r="I382" i="17" s="1"/>
  <c r="E405" i="17"/>
  <c r="E412" i="17"/>
  <c r="E410" i="17"/>
  <c r="E407" i="17"/>
  <c r="E480" i="17"/>
  <c r="I428" i="17" s="1"/>
  <c r="E472" i="17"/>
  <c r="I420" i="17" s="1"/>
  <c r="E464" i="17"/>
  <c r="I412" i="17" s="1"/>
  <c r="E456" i="17"/>
  <c r="I404" i="17" s="1"/>
  <c r="E448" i="17"/>
  <c r="I396" i="17" s="1"/>
  <c r="E440" i="17"/>
  <c r="I388" i="17" s="1"/>
  <c r="E429" i="17"/>
  <c r="E397" i="17"/>
  <c r="W34" i="22"/>
  <c r="W29" i="22"/>
  <c r="W37" i="22"/>
  <c r="W18" i="22"/>
  <c r="W25" i="22"/>
  <c r="W30" i="22"/>
  <c r="W33" i="22"/>
  <c r="W9" i="22"/>
  <c r="W17" i="22"/>
  <c r="W14" i="22"/>
  <c r="W36" i="22"/>
  <c r="W22" i="22"/>
  <c r="W32" i="22"/>
  <c r="W78" i="22"/>
  <c r="W80" i="22"/>
  <c r="W62" i="22"/>
  <c r="W69" i="22"/>
  <c r="W74" i="22"/>
  <c r="W77" i="22"/>
  <c r="W58" i="22"/>
  <c r="S217" i="22"/>
  <c r="T217" i="22"/>
  <c r="Y244" i="22"/>
  <c r="Y239" i="22"/>
  <c r="T255" i="22"/>
  <c r="U255" i="22"/>
  <c r="R255" i="22"/>
  <c r="X256" i="22"/>
  <c r="W256" i="22"/>
  <c r="Y256" i="22"/>
  <c r="X289" i="22"/>
  <c r="X284" i="22"/>
  <c r="X305" i="22"/>
  <c r="X282" i="22"/>
  <c r="X299" i="22"/>
  <c r="X302" i="22"/>
  <c r="X278" i="22"/>
  <c r="X285" i="22"/>
  <c r="X293" i="22"/>
  <c r="X306" i="22"/>
  <c r="X286" i="22"/>
  <c r="X303" i="22"/>
  <c r="X304" i="22"/>
  <c r="X297" i="22"/>
  <c r="X300" i="22"/>
  <c r="Y297" i="22"/>
  <c r="W297" i="22"/>
  <c r="W308" i="22" s="1"/>
  <c r="Y299" i="22"/>
  <c r="W299" i="22"/>
  <c r="G300" i="22"/>
  <c r="E300" i="22"/>
  <c r="U301" i="22"/>
  <c r="R301" i="22"/>
  <c r="Y302" i="22"/>
  <c r="W302" i="22"/>
  <c r="T306" i="22"/>
  <c r="U306" i="22"/>
  <c r="R306" i="22"/>
  <c r="K306" i="22"/>
  <c r="W339" i="22"/>
  <c r="W334" i="22"/>
  <c r="W328" i="22"/>
  <c r="W352" i="22"/>
  <c r="W343" i="22"/>
  <c r="W353" i="22"/>
  <c r="W351" i="22"/>
  <c r="W340" i="22"/>
  <c r="W332" i="22"/>
  <c r="W347" i="22"/>
  <c r="W350" i="22"/>
  <c r="W336" i="22"/>
  <c r="W356" i="22"/>
  <c r="W354" i="22"/>
  <c r="Y350" i="22"/>
  <c r="X350" i="22"/>
  <c r="T354" i="22"/>
  <c r="U354" i="22"/>
  <c r="R354" i="22"/>
  <c r="S354" i="22"/>
  <c r="E400" i="22"/>
  <c r="G400" i="22"/>
  <c r="K702" i="22"/>
  <c r="R702" i="22"/>
  <c r="W16" i="18"/>
  <c r="W21" i="18"/>
  <c r="W35" i="18" s="1"/>
  <c r="X22" i="18"/>
  <c r="X10" i="18"/>
  <c r="X33" i="18"/>
  <c r="X66" i="18"/>
  <c r="X53" i="18"/>
  <c r="X78" i="18"/>
  <c r="X68" i="18"/>
  <c r="Y68" i="18"/>
  <c r="Y104" i="18"/>
  <c r="Y109" i="18"/>
  <c r="U115" i="18"/>
  <c r="T115" i="18"/>
  <c r="W154" i="18"/>
  <c r="W149" i="18"/>
  <c r="X171" i="18"/>
  <c r="X168" i="18"/>
  <c r="W187" i="18"/>
  <c r="W211" i="18"/>
  <c r="U210" i="18"/>
  <c r="R210" i="18"/>
  <c r="S216" i="18"/>
  <c r="X216" i="18"/>
  <c r="Y256" i="18"/>
  <c r="Y253" i="18"/>
  <c r="R253" i="18"/>
  <c r="X253" i="18"/>
  <c r="X298" i="22"/>
  <c r="W335" i="22"/>
  <c r="W61" i="22"/>
  <c r="W54" i="22"/>
  <c r="U112" i="22"/>
  <c r="T112" i="22"/>
  <c r="T124" i="22" s="1"/>
  <c r="O129" i="22"/>
  <c r="Y165" i="22"/>
  <c r="Y168" i="22"/>
  <c r="Y171" i="22"/>
  <c r="Y163" i="22"/>
  <c r="Y167" i="22"/>
  <c r="Y143" i="22"/>
  <c r="Y150" i="22"/>
  <c r="Y170" i="22"/>
  <c r="Y158" i="22"/>
  <c r="Y162" i="22"/>
  <c r="Y142" i="22"/>
  <c r="Y147" i="22"/>
  <c r="Y151" i="22"/>
  <c r="X216" i="22"/>
  <c r="X192" i="22"/>
  <c r="X208" i="22"/>
  <c r="X213" i="22"/>
  <c r="X188" i="22"/>
  <c r="X203" i="22"/>
  <c r="X187" i="22"/>
  <c r="X207" i="22"/>
  <c r="X212" i="22"/>
  <c r="X195" i="22"/>
  <c r="X211" i="22"/>
  <c r="X196" i="22"/>
  <c r="X214" i="22" s="1"/>
  <c r="L207" i="22"/>
  <c r="L208" i="22"/>
  <c r="L214" i="22" s="1"/>
  <c r="U215" i="22"/>
  <c r="T215" i="22"/>
  <c r="R215" i="22"/>
  <c r="R217" i="22"/>
  <c r="X170" i="18"/>
  <c r="X163" i="18"/>
  <c r="X155" i="18"/>
  <c r="X173" i="18" s="1"/>
  <c r="W208" i="18"/>
  <c r="S255" i="22"/>
  <c r="W349" i="22"/>
  <c r="W76" i="22"/>
  <c r="W53" i="22"/>
  <c r="W73" i="22"/>
  <c r="L35" i="22"/>
  <c r="G448" i="22"/>
  <c r="E448" i="22"/>
  <c r="G495" i="22"/>
  <c r="E495" i="22"/>
  <c r="R499" i="22"/>
  <c r="K499" i="22"/>
  <c r="K548" i="22"/>
  <c r="R548" i="22"/>
  <c r="S573" i="22"/>
  <c r="S210" i="18"/>
  <c r="W203" i="18"/>
  <c r="W196" i="18"/>
  <c r="Y173" i="18"/>
  <c r="X151" i="18"/>
  <c r="X142" i="18"/>
  <c r="W213" i="18"/>
  <c r="T210" i="18"/>
  <c r="W207" i="18"/>
  <c r="W192" i="18"/>
  <c r="W65" i="18"/>
  <c r="W79" i="18" s="1"/>
  <c r="X301" i="22"/>
  <c r="K354" i="22"/>
  <c r="W348" i="22"/>
  <c r="X290" i="22"/>
  <c r="W355" i="22"/>
  <c r="Y83" i="22"/>
  <c r="W10" i="22"/>
  <c r="W81" i="22"/>
  <c r="W123" i="22"/>
  <c r="W120" i="22"/>
  <c r="W97" i="22"/>
  <c r="W110" i="22"/>
  <c r="W117" i="22"/>
  <c r="W125" i="22"/>
  <c r="W98" i="22"/>
  <c r="W105" i="22"/>
  <c r="W121" i="22"/>
  <c r="W106" i="22"/>
  <c r="W113" i="22"/>
  <c r="W118" i="22"/>
  <c r="M117" i="22"/>
  <c r="M124" i="22" s="1"/>
  <c r="S124" i="22"/>
  <c r="L124" i="22"/>
  <c r="O214" i="22"/>
  <c r="O219" i="22" s="1"/>
  <c r="Y202" i="22"/>
  <c r="X202" i="22"/>
  <c r="T207" i="22"/>
  <c r="U207" i="22"/>
  <c r="U218" i="22" s="1"/>
  <c r="R207" i="22"/>
  <c r="R218" i="22" s="1"/>
  <c r="T208" i="22"/>
  <c r="S208" i="22"/>
  <c r="S214" i="22" s="1"/>
  <c r="T211" i="22"/>
  <c r="S211" i="22"/>
  <c r="R211" i="22"/>
  <c r="U211" i="22"/>
  <c r="W212" i="22"/>
  <c r="Y212" i="22"/>
  <c r="P83" i="18"/>
  <c r="L207" i="18"/>
  <c r="L208" i="18" s="1"/>
  <c r="L214" i="18" s="1"/>
  <c r="L700" i="22"/>
  <c r="M214" i="22"/>
  <c r="R169" i="22"/>
  <c r="R173" i="22"/>
  <c r="Y213" i="22"/>
  <c r="Y214" i="22" s="1"/>
  <c r="P218" i="22"/>
  <c r="X355" i="22"/>
  <c r="O348" i="22"/>
  <c r="O398" i="22"/>
  <c r="P503" i="22"/>
  <c r="O552" i="22"/>
  <c r="O553" i="22" s="1"/>
  <c r="P603" i="22"/>
  <c r="P604" i="22" s="1"/>
  <c r="B1085" i="17"/>
  <c r="M20" i="17"/>
  <c r="M22" i="17"/>
  <c r="I74" i="17"/>
  <c r="E98" i="17" s="1"/>
  <c r="F98" i="17" s="1"/>
  <c r="I78" i="17"/>
  <c r="E102" i="17" s="1"/>
  <c r="O142" i="17"/>
  <c r="M252" i="18"/>
  <c r="M259" i="18" s="1"/>
  <c r="P309" i="18"/>
  <c r="L404" i="22"/>
  <c r="M687" i="22"/>
  <c r="M700" i="22" s="1"/>
  <c r="L354" i="22"/>
  <c r="P79" i="22"/>
  <c r="P83" i="22"/>
  <c r="P84" i="22" s="1"/>
  <c r="P124" i="22"/>
  <c r="P129" i="22" s="1"/>
  <c r="P131" i="22" s="1"/>
  <c r="S169" i="22"/>
  <c r="O263" i="22"/>
  <c r="O264" i="22" s="1"/>
  <c r="P359" i="22"/>
  <c r="S501" i="22"/>
  <c r="S79" i="18"/>
  <c r="S84" i="18" s="1"/>
  <c r="M169" i="18"/>
  <c r="O408" i="18"/>
  <c r="O409" i="18" s="1"/>
  <c r="P454" i="18"/>
  <c r="P459" i="18" s="1"/>
  <c r="R358" i="22"/>
  <c r="R308" i="22"/>
  <c r="O169" i="22"/>
  <c r="O174" i="22" s="1"/>
  <c r="O177" i="22" s="1"/>
  <c r="R35" i="22"/>
  <c r="P259" i="22"/>
  <c r="P264" i="22" s="1"/>
  <c r="P266" i="22" s="1"/>
  <c r="Q266" i="22" s="1"/>
  <c r="M297" i="22"/>
  <c r="P408" i="22"/>
  <c r="P409" i="22" s="1"/>
  <c r="P459" i="22"/>
  <c r="S497" i="22"/>
  <c r="P552" i="22"/>
  <c r="P553" i="22" s="1"/>
  <c r="L162" i="18"/>
  <c r="L163" i="18" s="1"/>
  <c r="L169" i="18" s="1"/>
  <c r="M207" i="18"/>
  <c r="M214" i="18" s="1"/>
  <c r="W210" i="18"/>
  <c r="T215" i="18"/>
  <c r="X252" i="18"/>
  <c r="X257" i="18"/>
  <c r="O503" i="22"/>
  <c r="L117" i="18"/>
  <c r="L124" i="18" s="1"/>
  <c r="W212" i="18"/>
  <c r="O253" i="18"/>
  <c r="O259" i="18" s="1"/>
  <c r="X255" i="18"/>
  <c r="R261" i="22"/>
  <c r="R503" i="22"/>
  <c r="R504" i="22" s="1"/>
  <c r="O652" i="22"/>
  <c r="E411" i="17"/>
  <c r="D13" i="19"/>
  <c r="T169" i="22"/>
  <c r="T174" i="22" s="1"/>
  <c r="Y17" i="22"/>
  <c r="O590" i="22"/>
  <c r="U68" i="18"/>
  <c r="U83" i="18" s="1"/>
  <c r="T68" i="18"/>
  <c r="T83" i="18" s="1"/>
  <c r="X71" i="18"/>
  <c r="Y71" i="18"/>
  <c r="W123" i="18"/>
  <c r="W98" i="18"/>
  <c r="W105" i="18"/>
  <c r="W120" i="18"/>
  <c r="W121" i="18"/>
  <c r="W97" i="18"/>
  <c r="W106" i="18"/>
  <c r="W110" i="18"/>
  <c r="W128" i="18" s="1"/>
  <c r="W113" i="18"/>
  <c r="W118" i="18"/>
  <c r="Y123" i="18"/>
  <c r="Y117" i="18"/>
  <c r="Y125" i="18"/>
  <c r="Y126" i="18"/>
  <c r="Y102" i="18"/>
  <c r="U112" i="18"/>
  <c r="U128" i="18" s="1"/>
  <c r="T112" i="18"/>
  <c r="W168" i="18"/>
  <c r="W147" i="18"/>
  <c r="W155" i="18"/>
  <c r="W169" i="18" s="1"/>
  <c r="W158" i="18"/>
  <c r="W163" i="18"/>
  <c r="W143" i="18"/>
  <c r="W162" i="18"/>
  <c r="Y168" i="18"/>
  <c r="Y142" i="18"/>
  <c r="Y151" i="18"/>
  <c r="Y165" i="18"/>
  <c r="Y166" i="18"/>
  <c r="Y170" i="18"/>
  <c r="Y171" i="18"/>
  <c r="Y150" i="18"/>
  <c r="Y167" i="18"/>
  <c r="T157" i="18"/>
  <c r="U157" i="18"/>
  <c r="U169" i="18" s="1"/>
  <c r="W199" i="18"/>
  <c r="W218" i="18" s="1"/>
  <c r="W194" i="18"/>
  <c r="X213" i="18"/>
  <c r="X195" i="18"/>
  <c r="X200" i="18"/>
  <c r="X203" i="18"/>
  <c r="X215" i="18"/>
  <c r="X192" i="18"/>
  <c r="X207" i="18"/>
  <c r="X208" i="18"/>
  <c r="X210" i="18"/>
  <c r="X211" i="18"/>
  <c r="X212" i="18"/>
  <c r="U187" i="18"/>
  <c r="T187" i="18"/>
  <c r="S187" i="18"/>
  <c r="U208" i="18"/>
  <c r="T208" i="18"/>
  <c r="U211" i="18"/>
  <c r="R211" i="18"/>
  <c r="E212" i="18"/>
  <c r="G212" i="18"/>
  <c r="U213" i="18"/>
  <c r="R213" i="18"/>
  <c r="S215" i="18"/>
  <c r="W215" i="18"/>
  <c r="X244" i="18"/>
  <c r="X239" i="18"/>
  <c r="W258" i="18"/>
  <c r="W256" i="18"/>
  <c r="W253" i="18"/>
  <c r="W232" i="18"/>
  <c r="W233" i="18"/>
  <c r="Y248" i="18"/>
  <c r="Y257" i="18"/>
  <c r="Y255" i="18"/>
  <c r="Y252" i="18"/>
  <c r="Y237" i="18"/>
  <c r="Y240" i="18"/>
  <c r="Y241" i="18"/>
  <c r="Y245" i="18"/>
  <c r="G255" i="18"/>
  <c r="E255" i="18"/>
  <c r="U256" i="18"/>
  <c r="U259" i="18" s="1"/>
  <c r="T256" i="18"/>
  <c r="S256" i="18"/>
  <c r="U258" i="18"/>
  <c r="R258" i="18"/>
  <c r="R259" i="18" s="1"/>
  <c r="S258" i="18"/>
  <c r="S259" i="18" s="1"/>
  <c r="S264" i="18" s="1"/>
  <c r="W289" i="18"/>
  <c r="W284" i="18"/>
  <c r="W305" i="18"/>
  <c r="W285" i="18"/>
  <c r="W290" i="18"/>
  <c r="W298" i="18"/>
  <c r="W303" i="18"/>
  <c r="W306" i="18"/>
  <c r="T277" i="18"/>
  <c r="K277" i="18"/>
  <c r="S277" i="18"/>
  <c r="T295" i="18"/>
  <c r="U295" i="18"/>
  <c r="T297" i="18"/>
  <c r="S297" i="18"/>
  <c r="S308" i="18" s="1"/>
  <c r="U297" i="18"/>
  <c r="R297" i="18"/>
  <c r="R308" i="18" s="1"/>
  <c r="U298" i="18"/>
  <c r="R298" i="18"/>
  <c r="S298" i="18"/>
  <c r="T299" i="18"/>
  <c r="S299" i="18"/>
  <c r="R299" i="18"/>
  <c r="T300" i="18"/>
  <c r="S300" i="18"/>
  <c r="R300" i="18"/>
  <c r="E393" i="17"/>
  <c r="E401" i="17"/>
  <c r="E409" i="17"/>
  <c r="E417" i="17"/>
  <c r="E425" i="17"/>
  <c r="E433" i="17"/>
  <c r="E435" i="17"/>
  <c r="I383" i="17" s="1"/>
  <c r="E437" i="17"/>
  <c r="I385" i="17" s="1"/>
  <c r="E439" i="17"/>
  <c r="I387" i="17" s="1"/>
  <c r="E441" i="17"/>
  <c r="I389" i="17" s="1"/>
  <c r="E443" i="17"/>
  <c r="I391" i="17" s="1"/>
  <c r="E445" i="17"/>
  <c r="I393" i="17" s="1"/>
  <c r="E447" i="17"/>
  <c r="I395" i="17" s="1"/>
  <c r="E449" i="17"/>
  <c r="I397" i="17" s="1"/>
  <c r="E451" i="17"/>
  <c r="I399" i="17" s="1"/>
  <c r="E453" i="17"/>
  <c r="I401" i="17" s="1"/>
  <c r="E455" i="17"/>
  <c r="I403" i="17" s="1"/>
  <c r="E457" i="17"/>
  <c r="I405" i="17" s="1"/>
  <c r="E459" i="17"/>
  <c r="I407" i="17" s="1"/>
  <c r="E461" i="17"/>
  <c r="I409" i="17" s="1"/>
  <c r="E463" i="17"/>
  <c r="I411" i="17" s="1"/>
  <c r="E465" i="17"/>
  <c r="I413" i="17" s="1"/>
  <c r="E467" i="17"/>
  <c r="I415" i="17" s="1"/>
  <c r="E469" i="17"/>
  <c r="I417" i="17" s="1"/>
  <c r="E471" i="17"/>
  <c r="I419" i="17" s="1"/>
  <c r="E473" i="17"/>
  <c r="I421" i="17" s="1"/>
  <c r="E475" i="17"/>
  <c r="I423" i="17" s="1"/>
  <c r="E477" i="17"/>
  <c r="I425" i="17" s="1"/>
  <c r="E479" i="17"/>
  <c r="I427" i="17" s="1"/>
  <c r="E481" i="17"/>
  <c r="I429" i="17" s="1"/>
  <c r="E268" i="17"/>
  <c r="E276" i="17"/>
  <c r="E284" i="17"/>
  <c r="E292" i="17"/>
  <c r="E300" i="17"/>
  <c r="E308" i="17"/>
  <c r="E316" i="17"/>
  <c r="E324" i="17"/>
  <c r="E332" i="17"/>
  <c r="E340" i="17"/>
  <c r="E348" i="17"/>
  <c r="E356" i="17"/>
  <c r="E346" i="17"/>
  <c r="E330" i="17"/>
  <c r="E314" i="17"/>
  <c r="E298" i="17"/>
  <c r="E282" i="17"/>
  <c r="E266" i="17"/>
  <c r="E415" i="17"/>
  <c r="E399" i="17"/>
  <c r="E385" i="17"/>
  <c r="O148" i="17"/>
  <c r="O156" i="17"/>
  <c r="O164" i="17"/>
  <c r="O172" i="17"/>
  <c r="O180" i="17"/>
  <c r="O188" i="17"/>
  <c r="O196" i="17"/>
  <c r="O204" i="17"/>
  <c r="O212" i="17"/>
  <c r="O220" i="17"/>
  <c r="O228" i="17"/>
  <c r="O236" i="17"/>
  <c r="E144" i="17"/>
  <c r="E152" i="17"/>
  <c r="E160" i="17"/>
  <c r="E168" i="17"/>
  <c r="E176" i="17"/>
  <c r="E184" i="17"/>
  <c r="E192" i="17"/>
  <c r="E200" i="17"/>
  <c r="E208" i="17"/>
  <c r="E216" i="17"/>
  <c r="E224" i="17"/>
  <c r="E232" i="17"/>
  <c r="O141" i="17"/>
  <c r="O149" i="17"/>
  <c r="O157" i="17"/>
  <c r="O165" i="17"/>
  <c r="O173" i="17"/>
  <c r="O181" i="17"/>
  <c r="O189" i="17"/>
  <c r="O197" i="17"/>
  <c r="O205" i="17"/>
  <c r="O213" i="17"/>
  <c r="O221" i="17"/>
  <c r="O229" i="17"/>
  <c r="O237" i="17"/>
  <c r="E145" i="17"/>
  <c r="E153" i="17"/>
  <c r="E161" i="17"/>
  <c r="E169" i="17"/>
  <c r="E177" i="17"/>
  <c r="E185" i="17"/>
  <c r="E193" i="17"/>
  <c r="E201" i="17"/>
  <c r="E209" i="17"/>
  <c r="E217" i="17"/>
  <c r="E225" i="17"/>
  <c r="E233" i="17"/>
  <c r="E357" i="17"/>
  <c r="E349" i="17"/>
  <c r="E341" i="17"/>
  <c r="E333" i="17"/>
  <c r="E325" i="17"/>
  <c r="E317" i="17"/>
  <c r="E309" i="17"/>
  <c r="E301" i="17"/>
  <c r="E293" i="17"/>
  <c r="E285" i="17"/>
  <c r="E277" i="17"/>
  <c r="E261" i="17"/>
  <c r="E418" i="17"/>
  <c r="E402" i="17"/>
  <c r="E386" i="17"/>
  <c r="E388" i="17"/>
  <c r="E404" i="17"/>
  <c r="E420" i="17"/>
  <c r="E263" i="17"/>
  <c r="E279" i="17"/>
  <c r="E295" i="17"/>
  <c r="E311" i="17"/>
  <c r="E327" i="17"/>
  <c r="E343" i="17"/>
  <c r="E359" i="17"/>
  <c r="E223" i="17"/>
  <c r="E207" i="17"/>
  <c r="E191" i="17"/>
  <c r="E175" i="17"/>
  <c r="E159" i="17"/>
  <c r="E143" i="17"/>
  <c r="O227" i="17"/>
  <c r="O211" i="17"/>
  <c r="O195" i="17"/>
  <c r="O179" i="17"/>
  <c r="O163" i="17"/>
  <c r="O147" i="17"/>
  <c r="M354" i="18"/>
  <c r="X73" i="18"/>
  <c r="X76" i="18"/>
  <c r="X30" i="18"/>
  <c r="E234" i="17"/>
  <c r="E218" i="17"/>
  <c r="E202" i="17"/>
  <c r="E186" i="17"/>
  <c r="E170" i="17"/>
  <c r="E154" i="17"/>
  <c r="O238" i="17"/>
  <c r="O222" i="17"/>
  <c r="O206" i="17"/>
  <c r="O190" i="17"/>
  <c r="O174" i="17"/>
  <c r="O158" i="17"/>
  <c r="E383" i="17"/>
  <c r="E270" i="17"/>
  <c r="E302" i="17"/>
  <c r="U79" i="18"/>
  <c r="R218" i="18"/>
  <c r="E76" i="17"/>
  <c r="I76" i="17" s="1"/>
  <c r="E100" i="17" s="1"/>
  <c r="F100" i="17" s="1"/>
  <c r="B84" i="17"/>
  <c r="O146" i="17"/>
  <c r="O154" i="17"/>
  <c r="O162" i="17"/>
  <c r="O170" i="17"/>
  <c r="O178" i="17"/>
  <c r="O186" i="17"/>
  <c r="O194" i="17"/>
  <c r="O202" i="17"/>
  <c r="O210" i="17"/>
  <c r="O218" i="17"/>
  <c r="O226" i="17"/>
  <c r="O234" i="17"/>
  <c r="E142" i="17"/>
  <c r="E150" i="17"/>
  <c r="E158" i="17"/>
  <c r="E166" i="17"/>
  <c r="E174" i="17"/>
  <c r="E182" i="17"/>
  <c r="E190" i="17"/>
  <c r="E198" i="17"/>
  <c r="E206" i="17"/>
  <c r="E214" i="17"/>
  <c r="E222" i="17"/>
  <c r="E230" i="17"/>
  <c r="E238" i="17"/>
  <c r="O143" i="17"/>
  <c r="O151" i="17"/>
  <c r="O159" i="17"/>
  <c r="O167" i="17"/>
  <c r="O175" i="17"/>
  <c r="O183" i="17"/>
  <c r="O191" i="17"/>
  <c r="O199" i="17"/>
  <c r="O207" i="17"/>
  <c r="O215" i="17"/>
  <c r="O223" i="17"/>
  <c r="O231" i="17"/>
  <c r="O239" i="17"/>
  <c r="E147" i="17"/>
  <c r="E155" i="17"/>
  <c r="E163" i="17"/>
  <c r="E171" i="17"/>
  <c r="E179" i="17"/>
  <c r="E187" i="17"/>
  <c r="E195" i="17"/>
  <c r="E203" i="17"/>
  <c r="E211" i="17"/>
  <c r="E219" i="17"/>
  <c r="E227" i="17"/>
  <c r="E235" i="17"/>
  <c r="E354" i="17"/>
  <c r="E358" i="17"/>
  <c r="E342" i="17"/>
  <c r="E326" i="17"/>
  <c r="E310" i="17"/>
  <c r="E294" i="17"/>
  <c r="E278" i="17"/>
  <c r="E262" i="17"/>
  <c r="E355" i="17"/>
  <c r="E347" i="17"/>
  <c r="E339" i="17"/>
  <c r="E331" i="17"/>
  <c r="E323" i="17"/>
  <c r="E315" i="17"/>
  <c r="E307" i="17"/>
  <c r="E299" i="17"/>
  <c r="E291" i="17"/>
  <c r="E283" i="17"/>
  <c r="E275" i="17"/>
  <c r="E267" i="17"/>
  <c r="E360" i="17"/>
  <c r="E265" i="17"/>
  <c r="E273" i="17"/>
  <c r="E419" i="17"/>
  <c r="E403" i="17"/>
  <c r="E387" i="17"/>
  <c r="E432" i="17"/>
  <c r="E424" i="17"/>
  <c r="E416" i="17"/>
  <c r="E408" i="17"/>
  <c r="E400" i="17"/>
  <c r="E392" i="17"/>
  <c r="E384" i="17"/>
  <c r="E382" i="17"/>
  <c r="E390" i="17"/>
  <c r="E398" i="17"/>
  <c r="E406" i="17"/>
  <c r="E414" i="17"/>
  <c r="E422" i="17"/>
  <c r="E430" i="17"/>
  <c r="Y16" i="18"/>
  <c r="Y21" i="18"/>
  <c r="X37" i="18"/>
  <c r="X14" i="18"/>
  <c r="X18" i="18"/>
  <c r="X25" i="18"/>
  <c r="X32" i="18"/>
  <c r="X34" i="18"/>
  <c r="X9" i="18"/>
  <c r="X29" i="18"/>
  <c r="X36" i="18"/>
  <c r="Y60" i="18"/>
  <c r="Y65" i="18"/>
  <c r="X81" i="18"/>
  <c r="X58" i="18"/>
  <c r="X62" i="18"/>
  <c r="X69" i="18"/>
  <c r="X74" i="18"/>
  <c r="X77" i="18"/>
  <c r="X61" i="18"/>
  <c r="X128" i="18"/>
  <c r="W39" i="18"/>
  <c r="O140" i="17"/>
  <c r="M29" i="18"/>
  <c r="M35" i="18" s="1"/>
  <c r="P35" i="18"/>
  <c r="S35" i="18"/>
  <c r="S40" i="18" s="1"/>
  <c r="M73" i="18"/>
  <c r="M79" i="18" s="1"/>
  <c r="P79" i="18"/>
  <c r="P84" i="18" s="1"/>
  <c r="R169" i="18"/>
  <c r="R173" i="18"/>
  <c r="P218" i="18"/>
  <c r="O263" i="18"/>
  <c r="O264" i="18" s="1"/>
  <c r="S482" i="22"/>
  <c r="P408" i="18"/>
  <c r="Y9" i="22"/>
  <c r="Y173" i="22"/>
  <c r="X358" i="18"/>
  <c r="W358" i="18"/>
  <c r="E966" i="17"/>
  <c r="R359" i="18"/>
  <c r="I73" i="17"/>
  <c r="E97" i="17" s="1"/>
  <c r="F97" i="17" s="1"/>
  <c r="U250" i="22"/>
  <c r="U261" i="22"/>
  <c r="S499" i="22"/>
  <c r="J24" i="17"/>
  <c r="R552" i="22"/>
  <c r="T260" i="22"/>
  <c r="S487" i="22"/>
  <c r="T128" i="22"/>
  <c r="T129" i="22" s="1"/>
  <c r="G546" i="18"/>
  <c r="G542" i="18"/>
  <c r="G541" i="18"/>
  <c r="G544" i="18"/>
  <c r="C305" i="18"/>
  <c r="E305" i="18" s="1"/>
  <c r="C405" i="22"/>
  <c r="G405" i="22" s="1"/>
  <c r="C444" i="22"/>
  <c r="C451" i="22"/>
  <c r="E451" i="22" s="1"/>
  <c r="C355" i="18"/>
  <c r="G355" i="18" s="1"/>
  <c r="C192" i="22"/>
  <c r="C450" i="22"/>
  <c r="E450" i="22" s="1"/>
  <c r="C697" i="22"/>
  <c r="G697" i="22" s="1"/>
  <c r="E264" i="22"/>
  <c r="E405" i="18"/>
  <c r="G405" i="18"/>
  <c r="Y327" i="18"/>
  <c r="W327" i="18"/>
  <c r="W359" i="18" s="1"/>
  <c r="C645" i="22"/>
  <c r="E645" i="22" s="1"/>
  <c r="C451" i="18"/>
  <c r="G451" i="18" s="1"/>
  <c r="O173" i="18"/>
  <c r="O163" i="18"/>
  <c r="O169" i="18" s="1"/>
  <c r="T128" i="18"/>
  <c r="W83" i="18"/>
  <c r="U217" i="18"/>
  <c r="R217" i="18"/>
  <c r="U262" i="18"/>
  <c r="R262" i="18"/>
  <c r="E495" i="18"/>
  <c r="G495" i="18"/>
  <c r="X202" i="18"/>
  <c r="Y202" i="18"/>
  <c r="X308" i="18"/>
  <c r="R261" i="18"/>
  <c r="T35" i="22"/>
  <c r="T40" i="22" s="1"/>
  <c r="O39" i="22"/>
  <c r="O40" i="22" s="1"/>
  <c r="R39" i="22"/>
  <c r="R40" i="22" s="1"/>
  <c r="T39" i="22"/>
  <c r="M11" i="17"/>
  <c r="M17" i="17"/>
  <c r="M18" i="17"/>
  <c r="M19" i="17"/>
  <c r="T35" i="18"/>
  <c r="O39" i="18"/>
  <c r="O40" i="18" s="1"/>
  <c r="R39" i="18"/>
  <c r="T39" i="18"/>
  <c r="P124" i="18"/>
  <c r="P129" i="18" s="1"/>
  <c r="S124" i="18"/>
  <c r="P128" i="18"/>
  <c r="S128" i="18"/>
  <c r="P169" i="18"/>
  <c r="P174" i="18" s="1"/>
  <c r="P173" i="18"/>
  <c r="S173" i="18"/>
  <c r="O298" i="18"/>
  <c r="O308" i="18"/>
  <c r="O309" i="18" s="1"/>
  <c r="P312" i="18"/>
  <c r="X356" i="18"/>
  <c r="O348" i="18"/>
  <c r="P409" i="18"/>
  <c r="O455" i="18"/>
  <c r="U262" i="22"/>
  <c r="U348" i="22"/>
  <c r="T349" i="22"/>
  <c r="O455" i="22"/>
  <c r="S488" i="22"/>
  <c r="S490" i="22"/>
  <c r="S498" i="22"/>
  <c r="E264" i="18"/>
  <c r="G384" i="18"/>
  <c r="S359" i="18"/>
  <c r="T358" i="18"/>
  <c r="T218" i="18"/>
  <c r="T79" i="18"/>
  <c r="T84" i="18" s="1"/>
  <c r="E847" i="17"/>
  <c r="Y39" i="18"/>
  <c r="I16" i="17"/>
  <c r="I71" i="17"/>
  <c r="E95" i="17" s="1"/>
  <c r="F95" i="17" s="1"/>
  <c r="S39" i="18"/>
  <c r="M117" i="18"/>
  <c r="M124" i="18" s="1"/>
  <c r="R124" i="18"/>
  <c r="R128" i="18"/>
  <c r="W216" i="18"/>
  <c r="P214" i="18"/>
  <c r="P219" i="18" s="1"/>
  <c r="P259" i="18"/>
  <c r="P263" i="18"/>
  <c r="T247" i="18"/>
  <c r="T263" i="18" s="1"/>
  <c r="X306" i="18"/>
  <c r="Y308" i="18"/>
  <c r="O398" i="18"/>
  <c r="O444" i="18"/>
  <c r="O504" i="22"/>
  <c r="T83" i="22"/>
  <c r="U35" i="22"/>
  <c r="P39" i="22"/>
  <c r="U39" i="22"/>
  <c r="O83" i="22"/>
  <c r="S173" i="22"/>
  <c r="U217" i="22"/>
  <c r="K305" i="22"/>
  <c r="Y342" i="22"/>
  <c r="Y358" i="22" s="1"/>
  <c r="E350" i="22"/>
  <c r="O408" i="22"/>
  <c r="O409" i="22" s="1"/>
  <c r="E1083" i="17"/>
  <c r="I1031" i="17" s="1"/>
  <c r="G747" i="22"/>
  <c r="M14" i="17"/>
  <c r="O653" i="22"/>
  <c r="Y35" i="22"/>
  <c r="S478" i="22"/>
  <c r="P653" i="22"/>
  <c r="M15" i="17"/>
  <c r="I72" i="17"/>
  <c r="E96" i="17" s="1"/>
  <c r="F96" i="17" s="1"/>
  <c r="E431" i="17"/>
  <c r="R35" i="18"/>
  <c r="R40" i="18" s="1"/>
  <c r="U35" i="18"/>
  <c r="P39" i="18"/>
  <c r="P40" i="18" s="1"/>
  <c r="U39" i="18"/>
  <c r="O128" i="18"/>
  <c r="O129" i="18" s="1"/>
  <c r="S169" i="18"/>
  <c r="S174" i="18" s="1"/>
  <c r="Y216" i="18"/>
  <c r="Y205" i="18"/>
  <c r="L297" i="18"/>
  <c r="L304" i="18" s="1"/>
  <c r="P358" i="18"/>
  <c r="P359" i="18" s="1"/>
  <c r="G497" i="18"/>
  <c r="P35" i="22"/>
  <c r="S39" i="22"/>
  <c r="S40" i="22" s="1"/>
  <c r="M73" i="22"/>
  <c r="M79" i="22" s="1"/>
  <c r="R79" i="22"/>
  <c r="R83" i="22"/>
  <c r="R124" i="22"/>
  <c r="R129" i="22" s="1"/>
  <c r="P173" i="22"/>
  <c r="T305" i="22"/>
  <c r="T351" i="22"/>
  <c r="R215" i="18"/>
  <c r="R454" i="22"/>
  <c r="S489" i="22"/>
  <c r="L538" i="22"/>
  <c r="L548" i="22" s="1"/>
  <c r="R652" i="22"/>
  <c r="R653" i="22" s="1"/>
  <c r="C626" i="22"/>
  <c r="G625" i="22"/>
  <c r="E626" i="22"/>
  <c r="E240" i="18"/>
  <c r="C13" i="22"/>
  <c r="C9" i="22" s="1"/>
  <c r="C13" i="18"/>
  <c r="G750" i="22"/>
  <c r="C285" i="22"/>
  <c r="E285" i="18"/>
  <c r="E355" i="22"/>
  <c r="G355" i="22"/>
  <c r="C499" i="22"/>
  <c r="D84" i="18"/>
  <c r="C305" i="22"/>
  <c r="C58" i="18"/>
  <c r="D40" i="22"/>
  <c r="X39" i="22"/>
  <c r="M538" i="22"/>
  <c r="M548" i="22" s="1"/>
  <c r="R603" i="22"/>
  <c r="R604" i="22" s="1"/>
  <c r="W308" i="18"/>
  <c r="X359" i="18"/>
  <c r="Y359" i="18"/>
  <c r="M304" i="18"/>
  <c r="T259" i="18"/>
  <c r="C236" i="18"/>
  <c r="R79" i="18"/>
  <c r="R84" i="18" s="1"/>
  <c r="R216" i="18"/>
  <c r="T216" i="18"/>
  <c r="T217" i="18"/>
  <c r="T261" i="18"/>
  <c r="R405" i="18"/>
  <c r="U79" i="22"/>
  <c r="X173" i="22"/>
  <c r="T218" i="22"/>
  <c r="T263" i="22"/>
  <c r="T259" i="22"/>
  <c r="R259" i="22"/>
  <c r="Y295" i="22"/>
  <c r="T301" i="22"/>
  <c r="S301" i="22"/>
  <c r="U345" i="22"/>
  <c r="R348" i="22"/>
  <c r="S349" i="22"/>
  <c r="E352" i="22"/>
  <c r="Y355" i="22"/>
  <c r="R406" i="22"/>
  <c r="S492" i="22"/>
  <c r="M12" i="17"/>
  <c r="M23" i="17"/>
  <c r="H84" i="17"/>
  <c r="I79" i="17"/>
  <c r="E103" i="17" s="1"/>
  <c r="I80" i="17"/>
  <c r="E104" i="17" s="1"/>
  <c r="F104" i="17" s="1"/>
  <c r="U358" i="18"/>
  <c r="U359" i="18" s="1"/>
  <c r="R408" i="18"/>
  <c r="M404" i="22"/>
  <c r="S259" i="22"/>
  <c r="Y39" i="22"/>
  <c r="Y79" i="22"/>
  <c r="Y84" i="22" s="1"/>
  <c r="R84" i="22"/>
  <c r="P219" i="22"/>
  <c r="R214" i="22"/>
  <c r="R219" i="22" s="1"/>
  <c r="U247" i="22"/>
  <c r="U263" i="22" s="1"/>
  <c r="X308" i="22"/>
  <c r="S308" i="22"/>
  <c r="T302" i="22"/>
  <c r="S302" i="22"/>
  <c r="S305" i="22"/>
  <c r="X356" i="22"/>
  <c r="T327" i="22"/>
  <c r="U327" i="22"/>
  <c r="S351" i="22"/>
  <c r="Z359" i="22"/>
  <c r="R408" i="22"/>
  <c r="R459" i="22"/>
  <c r="P504" i="22"/>
  <c r="S477" i="22"/>
  <c r="G546" i="22"/>
  <c r="O603" i="22"/>
  <c r="O604" i="22" s="1"/>
  <c r="L638" i="22"/>
  <c r="L648" i="22" s="1"/>
  <c r="P705" i="22"/>
  <c r="R704" i="22"/>
  <c r="C331" i="18"/>
  <c r="C331" i="22"/>
  <c r="C381" i="22"/>
  <c r="C377" i="18"/>
  <c r="C377" i="22"/>
  <c r="C381" i="18"/>
  <c r="C236" i="22"/>
  <c r="C146" i="18"/>
  <c r="C146" i="22"/>
  <c r="C281" i="18"/>
  <c r="C281" i="22"/>
  <c r="C57" i="22"/>
  <c r="C57" i="18"/>
  <c r="C101" i="18"/>
  <c r="C101" i="22"/>
  <c r="C539" i="22"/>
  <c r="G194" i="22"/>
  <c r="G216" i="22" s="1"/>
  <c r="G194" i="18"/>
  <c r="G216" i="18" s="1"/>
  <c r="G60" i="22"/>
  <c r="G81" i="22" s="1"/>
  <c r="G60" i="18"/>
  <c r="G81" i="18" s="1"/>
  <c r="T359" i="18"/>
  <c r="G10" i="5"/>
  <c r="G674" i="22"/>
  <c r="D104" i="17"/>
  <c r="I77" i="17"/>
  <c r="U124" i="22"/>
  <c r="W218" i="22"/>
  <c r="Y218" i="22"/>
  <c r="T358" i="22"/>
  <c r="S473" i="22"/>
  <c r="S217" i="18"/>
  <c r="R260" i="18"/>
  <c r="T260" i="18"/>
  <c r="T262" i="18"/>
  <c r="R427" i="18"/>
  <c r="R459" i="18" s="1"/>
  <c r="M427" i="18"/>
  <c r="X128" i="22"/>
  <c r="X124" i="22"/>
  <c r="U173" i="22"/>
  <c r="U169" i="22"/>
  <c r="P268" i="22"/>
  <c r="B24" i="17"/>
  <c r="U83" i="22"/>
  <c r="X169" i="22"/>
  <c r="X174" i="22" s="1"/>
  <c r="S174" i="22"/>
  <c r="K277" i="22"/>
  <c r="U277" i="22"/>
  <c r="U297" i="22"/>
  <c r="U308" i="22" s="1"/>
  <c r="T298" i="22"/>
  <c r="M299" i="22"/>
  <c r="M304" i="22" s="1"/>
  <c r="U299" i="22"/>
  <c r="U300" i="22"/>
  <c r="Z305" i="22"/>
  <c r="Z309" i="22" s="1"/>
  <c r="X340" i="22"/>
  <c r="U350" i="22"/>
  <c r="U352" i="22"/>
  <c r="U355" i="22"/>
  <c r="S496" i="22"/>
  <c r="E497" i="22"/>
  <c r="G497" i="22"/>
  <c r="Y115" i="22"/>
  <c r="G210" i="22"/>
  <c r="G212" i="22"/>
  <c r="G255" i="22"/>
  <c r="G257" i="22"/>
  <c r="R260" i="22"/>
  <c r="S262" i="22"/>
  <c r="T277" i="22"/>
  <c r="Y292" i="22"/>
  <c r="T297" i="22"/>
  <c r="U298" i="22"/>
  <c r="T299" i="22"/>
  <c r="T300" i="22"/>
  <c r="K327" i="22"/>
  <c r="X335" i="22"/>
  <c r="X336" i="22"/>
  <c r="U342" i="22"/>
  <c r="X343" i="22"/>
  <c r="M349" i="22"/>
  <c r="T350" i="22"/>
  <c r="T352" i="22"/>
  <c r="T355" i="22"/>
  <c r="K355" i="22"/>
  <c r="R405" i="22"/>
  <c r="E986" i="17"/>
  <c r="E988" i="17"/>
  <c r="E990" i="17"/>
  <c r="E992" i="17"/>
  <c r="E994" i="17"/>
  <c r="E996" i="17"/>
  <c r="E998" i="17"/>
  <c r="E1000" i="17"/>
  <c r="E1002" i="17"/>
  <c r="E1004" i="17"/>
  <c r="E1006" i="17"/>
  <c r="E1008" i="17"/>
  <c r="E1010" i="17"/>
  <c r="E1012" i="17"/>
  <c r="E1014" i="17"/>
  <c r="E1016" i="17"/>
  <c r="E1018" i="17"/>
  <c r="E1020" i="17"/>
  <c r="E1022" i="17"/>
  <c r="E1024" i="17"/>
  <c r="E1026" i="17"/>
  <c r="E1028" i="17"/>
  <c r="E1030" i="17"/>
  <c r="E1032" i="17"/>
  <c r="E1034" i="17"/>
  <c r="E1036" i="17"/>
  <c r="E1038" i="17"/>
  <c r="I986" i="17" s="1"/>
  <c r="E1040" i="17"/>
  <c r="I988" i="17" s="1"/>
  <c r="E1042" i="17"/>
  <c r="I990" i="17" s="1"/>
  <c r="E1044" i="17"/>
  <c r="I992" i="17" s="1"/>
  <c r="E1046" i="17"/>
  <c r="I994" i="17" s="1"/>
  <c r="E1048" i="17"/>
  <c r="I996" i="17" s="1"/>
  <c r="E1050" i="17"/>
  <c r="I998" i="17" s="1"/>
  <c r="E1052" i="17"/>
  <c r="I1000" i="17" s="1"/>
  <c r="E1054" i="17"/>
  <c r="I1002" i="17" s="1"/>
  <c r="E1056" i="17"/>
  <c r="I1004" i="17" s="1"/>
  <c r="E1058" i="17"/>
  <c r="I1006" i="17" s="1"/>
  <c r="E1060" i="17"/>
  <c r="I1008" i="17" s="1"/>
  <c r="E1062" i="17"/>
  <c r="I1010" i="17" s="1"/>
  <c r="E1064" i="17"/>
  <c r="I1012" i="17" s="1"/>
  <c r="E1066" i="17"/>
  <c r="I1014" i="17" s="1"/>
  <c r="E1068" i="17"/>
  <c r="I1016" i="17" s="1"/>
  <c r="E1070" i="17"/>
  <c r="I1018" i="17" s="1"/>
  <c r="E1072" i="17"/>
  <c r="I1020" i="17" s="1"/>
  <c r="E1074" i="17"/>
  <c r="I1022" i="17" s="1"/>
  <c r="E1076" i="17"/>
  <c r="I1024" i="17" s="1"/>
  <c r="E1078" i="17"/>
  <c r="I1026" i="17" s="1"/>
  <c r="E1080" i="17"/>
  <c r="I1028" i="17" s="1"/>
  <c r="E1082" i="17"/>
  <c r="I1030" i="17" s="1"/>
  <c r="E1084" i="17"/>
  <c r="I1032" i="17" s="1"/>
  <c r="G695" i="22"/>
  <c r="E985" i="17"/>
  <c r="E987" i="17"/>
  <c r="E989" i="17"/>
  <c r="E991" i="17"/>
  <c r="E993" i="17"/>
  <c r="E995" i="17"/>
  <c r="E997" i="17"/>
  <c r="E999" i="17"/>
  <c r="E1001" i="17"/>
  <c r="E1003" i="17"/>
  <c r="E1005" i="17"/>
  <c r="E1007" i="17"/>
  <c r="E1009" i="17"/>
  <c r="E1011" i="17"/>
  <c r="E1013" i="17"/>
  <c r="E1015" i="17"/>
  <c r="E1017" i="17"/>
  <c r="E1019" i="17"/>
  <c r="E1021" i="17"/>
  <c r="E1023" i="17"/>
  <c r="E1025" i="17"/>
  <c r="E1027" i="17"/>
  <c r="E1029" i="17"/>
  <c r="E1031" i="17"/>
  <c r="E1033" i="17"/>
  <c r="E1035" i="17"/>
  <c r="E1037" i="17"/>
  <c r="I985" i="17" s="1"/>
  <c r="E1039" i="17"/>
  <c r="I987" i="17" s="1"/>
  <c r="E1041" i="17"/>
  <c r="I989" i="17" s="1"/>
  <c r="E1043" i="17"/>
  <c r="I991" i="17" s="1"/>
  <c r="E1045" i="17"/>
  <c r="I993" i="17" s="1"/>
  <c r="E1047" i="17"/>
  <c r="I995" i="17" s="1"/>
  <c r="E1049" i="17"/>
  <c r="I997" i="17" s="1"/>
  <c r="E1051" i="17"/>
  <c r="I999" i="17" s="1"/>
  <c r="E1053" i="17"/>
  <c r="I1001" i="17" s="1"/>
  <c r="E1055" i="17"/>
  <c r="I1003" i="17" s="1"/>
  <c r="E1057" i="17"/>
  <c r="I1005" i="17" s="1"/>
  <c r="E1059" i="17"/>
  <c r="I1007" i="17" s="1"/>
  <c r="E1061" i="17"/>
  <c r="I1009" i="17" s="1"/>
  <c r="E1063" i="17"/>
  <c r="I1011" i="17" s="1"/>
  <c r="E1065" i="17"/>
  <c r="I1013" i="17" s="1"/>
  <c r="E1067" i="17"/>
  <c r="I1015" i="17" s="1"/>
  <c r="E1069" i="17"/>
  <c r="I1017" i="17" s="1"/>
  <c r="E1071" i="17"/>
  <c r="I1019" i="17" s="1"/>
  <c r="E1073" i="17"/>
  <c r="I1021" i="17" s="1"/>
  <c r="E1075" i="17"/>
  <c r="I1023" i="17" s="1"/>
  <c r="E1077" i="17"/>
  <c r="I1025" i="17" s="1"/>
  <c r="E1079" i="17"/>
  <c r="I1027" i="17" s="1"/>
  <c r="E1081" i="17"/>
  <c r="I1029" i="17" s="1"/>
  <c r="D174" i="18"/>
  <c r="E285" i="22"/>
  <c r="C335" i="22"/>
  <c r="C335" i="18"/>
  <c r="E129" i="22"/>
  <c r="D40" i="18"/>
  <c r="E40" i="22"/>
  <c r="E40" i="18"/>
  <c r="C698" i="22"/>
  <c r="D219" i="18"/>
  <c r="C240" i="18"/>
  <c r="C285" i="18"/>
  <c r="R553" i="22" l="1"/>
  <c r="X79" i="22"/>
  <c r="R705" i="22"/>
  <c r="X129" i="18"/>
  <c r="T308" i="22"/>
  <c r="R264" i="22"/>
  <c r="Y35" i="18"/>
  <c r="Y40" i="18" s="1"/>
  <c r="T214" i="22"/>
  <c r="T219" i="22" s="1"/>
  <c r="S129" i="22"/>
  <c r="W124" i="22"/>
  <c r="X169" i="18"/>
  <c r="W79" i="22"/>
  <c r="X218" i="22"/>
  <c r="Y169" i="22"/>
  <c r="T124" i="18"/>
  <c r="T129" i="18" s="1"/>
  <c r="W40" i="18"/>
  <c r="R309" i="22"/>
  <c r="W35" i="22"/>
  <c r="O705" i="22"/>
  <c r="O84" i="18"/>
  <c r="M354" i="22"/>
  <c r="P174" i="22"/>
  <c r="O84" i="22"/>
  <c r="S129" i="18"/>
  <c r="W214" i="18"/>
  <c r="W219" i="18" s="1"/>
  <c r="U84" i="22"/>
  <c r="T264" i="22"/>
  <c r="S503" i="22"/>
  <c r="S309" i="18"/>
  <c r="R214" i="18"/>
  <c r="S214" i="18"/>
  <c r="S219" i="18" s="1"/>
  <c r="Y169" i="18"/>
  <c r="Y174" i="18" s="1"/>
  <c r="Y124" i="18"/>
  <c r="W124" i="18"/>
  <c r="T214" i="18"/>
  <c r="T219" i="18" s="1"/>
  <c r="W83" i="22"/>
  <c r="W84" i="22" s="1"/>
  <c r="R409" i="22"/>
  <c r="O240" i="17"/>
  <c r="B102" i="17" s="1"/>
  <c r="F102" i="17" s="1"/>
  <c r="U124" i="18"/>
  <c r="U129" i="18" s="1"/>
  <c r="E240" i="17"/>
  <c r="B101" i="17" s="1"/>
  <c r="D101" i="17" s="1"/>
  <c r="E361" i="17"/>
  <c r="B103" i="17" s="1"/>
  <c r="D103" i="17" s="1"/>
  <c r="U214" i="22"/>
  <c r="W128" i="22"/>
  <c r="W129" i="22" s="1"/>
  <c r="S264" i="22"/>
  <c r="Y40" i="22"/>
  <c r="X79" i="18"/>
  <c r="Y79" i="18"/>
  <c r="X35" i="18"/>
  <c r="S219" i="22"/>
  <c r="E697" i="22"/>
  <c r="D102" i="17"/>
  <c r="Y83" i="18"/>
  <c r="W129" i="18"/>
  <c r="W84" i="18"/>
  <c r="E84" i="17"/>
  <c r="R174" i="22"/>
  <c r="W358" i="22"/>
  <c r="W39" i="22"/>
  <c r="W40" i="22" s="1"/>
  <c r="X214" i="18"/>
  <c r="U264" i="18"/>
  <c r="U173" i="18"/>
  <c r="U174" i="18" s="1"/>
  <c r="X174" i="18"/>
  <c r="Y308" i="22"/>
  <c r="R264" i="18"/>
  <c r="F103" i="17"/>
  <c r="U219" i="22"/>
  <c r="R219" i="18"/>
  <c r="P40" i="22"/>
  <c r="X83" i="18"/>
  <c r="X84" i="18" s="1"/>
  <c r="G305" i="18"/>
  <c r="G451" i="22"/>
  <c r="G645" i="22"/>
  <c r="Y128" i="18"/>
  <c r="Y129" i="18" s="1"/>
  <c r="R309" i="18"/>
  <c r="U214" i="18"/>
  <c r="U219" i="18" s="1"/>
  <c r="E451" i="18"/>
  <c r="E355" i="18"/>
  <c r="T173" i="18"/>
  <c r="T169" i="18"/>
  <c r="W174" i="22"/>
  <c r="R174" i="18"/>
  <c r="X39" i="18"/>
  <c r="X40" i="18" s="1"/>
  <c r="U308" i="18"/>
  <c r="U309" i="18" s="1"/>
  <c r="X277" i="18"/>
  <c r="X309" i="18" s="1"/>
  <c r="Y277" i="18"/>
  <c r="Y309" i="18" s="1"/>
  <c r="T308" i="18"/>
  <c r="T309" i="18" s="1"/>
  <c r="W277" i="18"/>
  <c r="W309" i="18" s="1"/>
  <c r="W173" i="18"/>
  <c r="W174" i="18" s="1"/>
  <c r="U84" i="18"/>
  <c r="C723" i="22"/>
  <c r="E723" i="22" s="1"/>
  <c r="P264" i="18"/>
  <c r="P268" i="18" s="1"/>
  <c r="R129" i="18"/>
  <c r="Y174" i="22"/>
  <c r="C522" i="22"/>
  <c r="E405" i="22"/>
  <c r="C444" i="18"/>
  <c r="G444" i="18" s="1"/>
  <c r="C490" i="22"/>
  <c r="G490" i="22" s="1"/>
  <c r="C490" i="18"/>
  <c r="E490" i="18" s="1"/>
  <c r="E444" i="22"/>
  <c r="G444" i="22"/>
  <c r="G450" i="22"/>
  <c r="C450" i="18"/>
  <c r="C749" i="22"/>
  <c r="C404" i="18"/>
  <c r="C404" i="22"/>
  <c r="C499" i="18"/>
  <c r="C240" i="22"/>
  <c r="C526" i="18"/>
  <c r="C549" i="22"/>
  <c r="C473" i="18"/>
  <c r="C473" i="22"/>
  <c r="C191" i="22"/>
  <c r="G191" i="22" s="1"/>
  <c r="G187" i="22" s="1"/>
  <c r="C191" i="18"/>
  <c r="E191" i="18" s="1"/>
  <c r="E187" i="18" s="1"/>
  <c r="G384" i="22"/>
  <c r="X40" i="22"/>
  <c r="U40" i="22"/>
  <c r="T40" i="18"/>
  <c r="X218" i="18"/>
  <c r="O174" i="18"/>
  <c r="O177" i="18" s="1"/>
  <c r="E240" i="22"/>
  <c r="M16" i="17"/>
  <c r="I24" i="17"/>
  <c r="U174" i="22"/>
  <c r="W219" i="22"/>
  <c r="S359" i="22"/>
  <c r="U40" i="18"/>
  <c r="C398" i="22"/>
  <c r="C398" i="18"/>
  <c r="S309" i="22"/>
  <c r="Y214" i="18"/>
  <c r="Y218" i="18"/>
  <c r="T264" i="18"/>
  <c r="U129" i="22"/>
  <c r="R409" i="18"/>
  <c r="G104" i="22"/>
  <c r="G126" i="22" s="1"/>
  <c r="G104" i="18"/>
  <c r="G126" i="18" s="1"/>
  <c r="G525" i="22"/>
  <c r="G525" i="18"/>
  <c r="G149" i="22"/>
  <c r="G171" i="22" s="1"/>
  <c r="G149" i="18"/>
  <c r="G171" i="18" s="1"/>
  <c r="G16" i="22"/>
  <c r="G37" i="22" s="1"/>
  <c r="G16" i="18"/>
  <c r="G37" i="18" s="1"/>
  <c r="E13" i="18"/>
  <c r="E9" i="18" s="1"/>
  <c r="C9" i="18"/>
  <c r="G13" i="18"/>
  <c r="G9" i="18" s="1"/>
  <c r="C622" i="22"/>
  <c r="E13" i="22"/>
  <c r="E9" i="22" s="1"/>
  <c r="G13" i="22"/>
  <c r="G9" i="22" s="1"/>
  <c r="C304" i="18"/>
  <c r="C304" i="22"/>
  <c r="C354" i="18"/>
  <c r="C354" i="22"/>
  <c r="C500" i="18"/>
  <c r="C500" i="22"/>
  <c r="G499" i="22"/>
  <c r="E499" i="22"/>
  <c r="D219" i="22"/>
  <c r="D264" i="18"/>
  <c r="D264" i="22"/>
  <c r="G305" i="22"/>
  <c r="E305" i="22"/>
  <c r="C646" i="22"/>
  <c r="D84" i="22"/>
  <c r="E219" i="22"/>
  <c r="E219" i="18"/>
  <c r="G334" i="22"/>
  <c r="G334" i="18"/>
  <c r="P131" i="18"/>
  <c r="P466" i="18"/>
  <c r="T359" i="22"/>
  <c r="Y219" i="22"/>
  <c r="X84" i="22"/>
  <c r="U259" i="22"/>
  <c r="U264" i="22" s="1"/>
  <c r="M24" i="17"/>
  <c r="G726" i="22"/>
  <c r="X327" i="22"/>
  <c r="Y327" i="22"/>
  <c r="Y359" i="22" s="1"/>
  <c r="W327" i="22"/>
  <c r="Y277" i="22"/>
  <c r="W277" i="22"/>
  <c r="W309" i="22" s="1"/>
  <c r="X277" i="22"/>
  <c r="X309" i="22" s="1"/>
  <c r="E101" i="17"/>
  <c r="I84" i="17"/>
  <c r="E335" i="22"/>
  <c r="E335" i="18"/>
  <c r="G284" i="22"/>
  <c r="G284" i="18"/>
  <c r="E539" i="22"/>
  <c r="G539" i="22"/>
  <c r="C573" i="22"/>
  <c r="E101" i="18"/>
  <c r="E97" i="18" s="1"/>
  <c r="G101" i="18"/>
  <c r="G97" i="18" s="1"/>
  <c r="C97" i="18"/>
  <c r="G57" i="22"/>
  <c r="G53" i="22" s="1"/>
  <c r="C53" i="22"/>
  <c r="E57" i="22"/>
  <c r="E53" i="22" s="1"/>
  <c r="C277" i="18"/>
  <c r="G281" i="18"/>
  <c r="G277" i="18" s="1"/>
  <c r="E281" i="18"/>
  <c r="E277" i="18" s="1"/>
  <c r="E146" i="22"/>
  <c r="E142" i="22" s="1"/>
  <c r="G146" i="22"/>
  <c r="G142" i="22" s="1"/>
  <c r="C142" i="22"/>
  <c r="E236" i="22"/>
  <c r="E232" i="22" s="1"/>
  <c r="C232" i="22"/>
  <c r="G236" i="22"/>
  <c r="G232" i="22" s="1"/>
  <c r="G381" i="22"/>
  <c r="G377" i="22" s="1"/>
  <c r="E381" i="22"/>
  <c r="E377" i="22" s="1"/>
  <c r="E331" i="18"/>
  <c r="E327" i="18" s="1"/>
  <c r="C327" i="18"/>
  <c r="G331" i="18"/>
  <c r="G327" i="18" s="1"/>
  <c r="E1085" i="17"/>
  <c r="T309" i="22"/>
  <c r="X358" i="22"/>
  <c r="X219" i="22"/>
  <c r="U358" i="22"/>
  <c r="U359" i="22" s="1"/>
  <c r="Y128" i="22"/>
  <c r="Y124" i="22"/>
  <c r="M443" i="18"/>
  <c r="M450" i="18" s="1"/>
  <c r="G576" i="22"/>
  <c r="E195" i="22"/>
  <c r="E195" i="18"/>
  <c r="G490" i="18"/>
  <c r="C539" i="18"/>
  <c r="C97" i="22"/>
  <c r="E101" i="22"/>
  <c r="E97" i="22" s="1"/>
  <c r="G101" i="22"/>
  <c r="G97" i="22" s="1"/>
  <c r="G57" i="18"/>
  <c r="G53" i="18" s="1"/>
  <c r="C53" i="18"/>
  <c r="E57" i="18"/>
  <c r="E53" i="18" s="1"/>
  <c r="E281" i="22"/>
  <c r="E277" i="22" s="1"/>
  <c r="C277" i="22"/>
  <c r="G281" i="22"/>
  <c r="G277" i="22" s="1"/>
  <c r="E146" i="18"/>
  <c r="E142" i="18" s="1"/>
  <c r="G146" i="18"/>
  <c r="G142" i="18" s="1"/>
  <c r="C142" i="18"/>
  <c r="E236" i="18"/>
  <c r="E232" i="18" s="1"/>
  <c r="G236" i="18"/>
  <c r="G232" i="18" s="1"/>
  <c r="C232" i="18"/>
  <c r="E381" i="18"/>
  <c r="E377" i="18" s="1"/>
  <c r="G381" i="18"/>
  <c r="G377" i="18" s="1"/>
  <c r="G331" i="22"/>
  <c r="G327" i="22" s="1"/>
  <c r="C327" i="22"/>
  <c r="E331" i="22"/>
  <c r="E327" i="22" s="1"/>
  <c r="U309" i="22"/>
  <c r="X129" i="22"/>
  <c r="E477" i="18"/>
  <c r="E477" i="22"/>
  <c r="E17" i="18"/>
  <c r="E17" i="22"/>
  <c r="D129" i="18"/>
  <c r="D129" i="22"/>
  <c r="C150" i="18"/>
  <c r="C150" i="22"/>
  <c r="E727" i="22"/>
  <c r="C727" i="22"/>
  <c r="C477" i="22"/>
  <c r="C477" i="18"/>
  <c r="E174" i="22"/>
  <c r="E174" i="18"/>
  <c r="E698" i="22"/>
  <c r="G698" i="22"/>
  <c r="E150" i="18"/>
  <c r="E150" i="22"/>
  <c r="E84" i="22"/>
  <c r="E84" i="18"/>
  <c r="F101" i="17" l="1"/>
  <c r="X219" i="18"/>
  <c r="Y84" i="18"/>
  <c r="Y309" i="22"/>
  <c r="P266" i="18"/>
  <c r="Q266" i="18" s="1"/>
  <c r="W359" i="22"/>
  <c r="R466" i="18"/>
  <c r="T174" i="18"/>
  <c r="E490" i="22"/>
  <c r="G723" i="22"/>
  <c r="C187" i="18"/>
  <c r="G191" i="18"/>
  <c r="G187" i="18" s="1"/>
  <c r="E444" i="18"/>
  <c r="G450" i="18"/>
  <c r="E450" i="18"/>
  <c r="C548" i="22"/>
  <c r="C671" i="22"/>
  <c r="G749" i="22"/>
  <c r="E749" i="22"/>
  <c r="C427" i="22"/>
  <c r="C427" i="18"/>
  <c r="G404" i="22"/>
  <c r="E404" i="22"/>
  <c r="E404" i="18"/>
  <c r="G404" i="18"/>
  <c r="G499" i="18"/>
  <c r="E499" i="18"/>
  <c r="E191" i="22"/>
  <c r="E187" i="22" s="1"/>
  <c r="E675" i="22"/>
  <c r="C187" i="22"/>
  <c r="C526" i="22"/>
  <c r="E549" i="22"/>
  <c r="G549" i="22"/>
  <c r="C549" i="18"/>
  <c r="G239" i="22"/>
  <c r="G261" i="22" s="1"/>
  <c r="G239" i="18"/>
  <c r="G261" i="18" s="1"/>
  <c r="E473" i="22"/>
  <c r="G473" i="22"/>
  <c r="G473" i="18"/>
  <c r="E473" i="18"/>
  <c r="Y129" i="22"/>
  <c r="Y219" i="18"/>
  <c r="G398" i="22"/>
  <c r="E398" i="22"/>
  <c r="G398" i="18"/>
  <c r="E398" i="18"/>
  <c r="C675" i="22"/>
  <c r="C195" i="22"/>
  <c r="C195" i="18"/>
  <c r="C61" i="18"/>
  <c r="C61" i="22"/>
  <c r="E526" i="18"/>
  <c r="E526" i="22"/>
  <c r="G622" i="22"/>
  <c r="E622" i="22"/>
  <c r="G646" i="22"/>
  <c r="E646" i="22"/>
  <c r="E105" i="22"/>
  <c r="E105" i="18"/>
  <c r="E500" i="18"/>
  <c r="G500" i="18"/>
  <c r="G354" i="18"/>
  <c r="E354" i="18"/>
  <c r="E304" i="22"/>
  <c r="G304" i="22"/>
  <c r="E304" i="18"/>
  <c r="G304" i="18"/>
  <c r="E61" i="18"/>
  <c r="E61" i="22"/>
  <c r="C105" i="22"/>
  <c r="C105" i="18"/>
  <c r="G500" i="22"/>
  <c r="E500" i="22"/>
  <c r="G354" i="22"/>
  <c r="E354" i="22"/>
  <c r="E577" i="22"/>
  <c r="C577" i="22"/>
  <c r="C117" i="18"/>
  <c r="G430" i="22"/>
  <c r="G430" i="18"/>
  <c r="G476" i="22"/>
  <c r="G476" i="18"/>
  <c r="C597" i="22"/>
  <c r="C596" i="22"/>
  <c r="E539" i="18"/>
  <c r="G539" i="18"/>
  <c r="E522" i="22"/>
  <c r="G522" i="22"/>
  <c r="E573" i="22"/>
  <c r="G573" i="22"/>
  <c r="C522" i="18"/>
  <c r="X359" i="22"/>
  <c r="C431" i="18"/>
  <c r="C17" i="22"/>
  <c r="C17" i="18"/>
  <c r="E431" i="22"/>
  <c r="E431" i="18"/>
  <c r="G548" i="22" l="1"/>
  <c r="E548" i="22"/>
  <c r="E671" i="22"/>
  <c r="G671" i="22"/>
  <c r="C548" i="18"/>
  <c r="E427" i="18"/>
  <c r="G427" i="18"/>
  <c r="G427" i="22"/>
  <c r="E427" i="22"/>
  <c r="C431" i="22"/>
  <c r="E549" i="18"/>
  <c r="G549" i="18"/>
  <c r="C385" i="18"/>
  <c r="C385" i="22"/>
  <c r="C117" i="22"/>
  <c r="G117" i="22" s="1"/>
  <c r="C73" i="22"/>
  <c r="G73" i="22" s="1"/>
  <c r="C73" i="18"/>
  <c r="E73" i="18" s="1"/>
  <c r="C29" i="22"/>
  <c r="C29" i="18"/>
  <c r="G596" i="22"/>
  <c r="E596" i="22"/>
  <c r="G597" i="22"/>
  <c r="E597" i="22"/>
  <c r="C162" i="22"/>
  <c r="C162" i="18"/>
  <c r="E522" i="18"/>
  <c r="G522" i="18"/>
  <c r="C207" i="22"/>
  <c r="C207" i="18"/>
  <c r="G117" i="18"/>
  <c r="E117" i="18"/>
  <c r="C297" i="22"/>
  <c r="C297" i="18"/>
  <c r="C550" i="22"/>
  <c r="E117" i="22" l="1"/>
  <c r="G548" i="18"/>
  <c r="E548" i="18"/>
  <c r="C527" i="22"/>
  <c r="E527" i="22" s="1"/>
  <c r="E385" i="18"/>
  <c r="E385" i="22"/>
  <c r="G73" i="18"/>
  <c r="E73" i="22"/>
  <c r="C252" i="22"/>
  <c r="C252" i="18"/>
  <c r="E162" i="22"/>
  <c r="G162" i="22"/>
  <c r="E29" i="22"/>
  <c r="G29" i="22"/>
  <c r="G162" i="18"/>
  <c r="E162" i="18"/>
  <c r="C347" i="18"/>
  <c r="C347" i="22"/>
  <c r="G29" i="18"/>
  <c r="E29" i="18"/>
  <c r="G297" i="22"/>
  <c r="E297" i="22"/>
  <c r="E207" i="22"/>
  <c r="G207" i="22"/>
  <c r="G297" i="18"/>
  <c r="E297" i="18"/>
  <c r="F40" i="18"/>
  <c r="F40" i="22"/>
  <c r="G207" i="18"/>
  <c r="E207" i="18"/>
  <c r="C550" i="18"/>
  <c r="E550" i="22"/>
  <c r="G550" i="22"/>
  <c r="C527" i="18"/>
  <c r="G527" i="22" l="1"/>
  <c r="C501" i="22"/>
  <c r="C501" i="18"/>
  <c r="C627" i="22"/>
  <c r="G347" i="22"/>
  <c r="E347" i="22"/>
  <c r="G252" i="22"/>
  <c r="E252" i="22"/>
  <c r="G347" i="18"/>
  <c r="E347" i="18"/>
  <c r="G252" i="18"/>
  <c r="E252" i="18"/>
  <c r="C306" i="18"/>
  <c r="C306" i="22"/>
  <c r="C356" i="18"/>
  <c r="C356" i="22"/>
  <c r="C699" i="22"/>
  <c r="C336" i="18"/>
  <c r="C336" i="22"/>
  <c r="C647" i="22"/>
  <c r="C598" i="22"/>
  <c r="F264" i="22"/>
  <c r="F264" i="18"/>
  <c r="E527" i="18"/>
  <c r="G527" i="18"/>
  <c r="G550" i="18"/>
  <c r="E550" i="18"/>
  <c r="C538" i="22" l="1"/>
  <c r="C478" i="18"/>
  <c r="C478" i="22"/>
  <c r="E501" i="22"/>
  <c r="G501" i="22"/>
  <c r="G501" i="18"/>
  <c r="E501" i="18"/>
  <c r="G336" i="22"/>
  <c r="E336" i="22"/>
  <c r="C359" i="22"/>
  <c r="E336" i="18"/>
  <c r="C359" i="18"/>
  <c r="G336" i="18"/>
  <c r="F129" i="22"/>
  <c r="F129" i="18"/>
  <c r="C578" i="22"/>
  <c r="E627" i="22"/>
  <c r="G627" i="22"/>
  <c r="E356" i="18"/>
  <c r="G356" i="18"/>
  <c r="C751" i="22"/>
  <c r="F174" i="18"/>
  <c r="F174" i="22"/>
  <c r="G306" i="22"/>
  <c r="E306" i="22"/>
  <c r="E306" i="18"/>
  <c r="G306" i="18"/>
  <c r="G598" i="22"/>
  <c r="E598" i="22"/>
  <c r="E647" i="22"/>
  <c r="G647" i="22"/>
  <c r="E699" i="22"/>
  <c r="G699" i="22"/>
  <c r="F84" i="22"/>
  <c r="F84" i="18"/>
  <c r="C241" i="18"/>
  <c r="C241" i="22"/>
  <c r="C676" i="22"/>
  <c r="C286" i="22"/>
  <c r="C286" i="18"/>
  <c r="E356" i="22"/>
  <c r="G356" i="22"/>
  <c r="C452" i="18" l="1"/>
  <c r="C452" i="22"/>
  <c r="C406" i="18"/>
  <c r="C406" i="22"/>
  <c r="C432" i="18"/>
  <c r="G478" i="22"/>
  <c r="E478" i="22"/>
  <c r="E478" i="18"/>
  <c r="G478" i="18"/>
  <c r="E151" i="18"/>
  <c r="C728" i="22"/>
  <c r="E106" i="22"/>
  <c r="E106" i="18"/>
  <c r="E286" i="18"/>
  <c r="G286" i="18"/>
  <c r="E676" i="22"/>
  <c r="G676" i="22"/>
  <c r="G241" i="22"/>
  <c r="E241" i="22"/>
  <c r="G751" i="22"/>
  <c r="E751" i="22"/>
  <c r="G359" i="22"/>
  <c r="E286" i="22"/>
  <c r="G286" i="22"/>
  <c r="G241" i="18"/>
  <c r="E241" i="18"/>
  <c r="F219" i="18"/>
  <c r="F219" i="22"/>
  <c r="C106" i="18"/>
  <c r="C106" i="22"/>
  <c r="G578" i="22"/>
  <c r="E578" i="22"/>
  <c r="G359" i="18"/>
  <c r="E359" i="18"/>
  <c r="E359" i="22"/>
  <c r="C538" i="18"/>
  <c r="G538" i="22"/>
  <c r="E538" i="22"/>
  <c r="C638" i="22" l="1"/>
  <c r="C432" i="22"/>
  <c r="E432" i="22" s="1"/>
  <c r="G406" i="22"/>
  <c r="E406" i="22"/>
  <c r="E406" i="18"/>
  <c r="G406" i="18"/>
  <c r="C386" i="22"/>
  <c r="C386" i="18"/>
  <c r="G452" i="18"/>
  <c r="E452" i="18"/>
  <c r="E432" i="18"/>
  <c r="G432" i="18"/>
  <c r="G452" i="22"/>
  <c r="E452" i="22"/>
  <c r="E151" i="22"/>
  <c r="C196" i="22"/>
  <c r="E196" i="18"/>
  <c r="C151" i="22"/>
  <c r="C151" i="18"/>
  <c r="G196" i="18"/>
  <c r="G196" i="22"/>
  <c r="C62" i="22"/>
  <c r="C62" i="18"/>
  <c r="E62" i="18"/>
  <c r="E62" i="22"/>
  <c r="E728" i="22"/>
  <c r="G728" i="22"/>
  <c r="G538" i="18"/>
  <c r="G553" i="18" s="1"/>
  <c r="E538" i="18"/>
  <c r="E553" i="18" s="1"/>
  <c r="C553" i="18"/>
  <c r="G432" i="22" l="1"/>
  <c r="C196" i="18"/>
  <c r="E196" i="22"/>
  <c r="G386" i="18"/>
  <c r="E386" i="18"/>
  <c r="G386" i="22"/>
  <c r="E386" i="22"/>
  <c r="C489" i="18"/>
  <c r="C489" i="22"/>
  <c r="C589" i="22"/>
  <c r="G638" i="22"/>
  <c r="E638" i="22"/>
  <c r="C74" i="22"/>
  <c r="C74" i="18"/>
  <c r="C639" i="22"/>
  <c r="C208" i="22"/>
  <c r="C208" i="18"/>
  <c r="C687" i="22"/>
  <c r="C214" i="18" l="1"/>
  <c r="C443" i="22"/>
  <c r="E489" i="18"/>
  <c r="G489" i="18"/>
  <c r="E489" i="22"/>
  <c r="G489" i="22"/>
  <c r="G687" i="22"/>
  <c r="E687" i="22"/>
  <c r="E208" i="22"/>
  <c r="E214" i="22" s="1"/>
  <c r="J215" i="22" s="1"/>
  <c r="G208" i="22"/>
  <c r="G214" i="22" s="1"/>
  <c r="K215" i="22" s="1"/>
  <c r="G74" i="18"/>
  <c r="G79" i="18" s="1"/>
  <c r="K80" i="18" s="1"/>
  <c r="E74" i="18"/>
  <c r="E79" i="18" s="1"/>
  <c r="J80" i="18" s="1"/>
  <c r="E589" i="22"/>
  <c r="G589" i="22"/>
  <c r="C214" i="22"/>
  <c r="C118" i="22"/>
  <c r="C118" i="18"/>
  <c r="C688" i="22"/>
  <c r="E208" i="18"/>
  <c r="E214" i="18" s="1"/>
  <c r="J215" i="18" s="1"/>
  <c r="G208" i="18"/>
  <c r="G214" i="18" s="1"/>
  <c r="K215" i="18" s="1"/>
  <c r="C590" i="22"/>
  <c r="C30" i="18"/>
  <c r="C30" i="22"/>
  <c r="C650" i="22"/>
  <c r="E639" i="22"/>
  <c r="E650" i="22" s="1"/>
  <c r="G639" i="22"/>
  <c r="E74" i="22"/>
  <c r="E79" i="22" s="1"/>
  <c r="J80" i="22" s="1"/>
  <c r="G74" i="22"/>
  <c r="G79" i="22" s="1"/>
  <c r="K80" i="22" s="1"/>
  <c r="C739" i="22"/>
  <c r="C443" i="18" l="1"/>
  <c r="E443" i="18" s="1"/>
  <c r="E443" i="22"/>
  <c r="G443" i="22"/>
  <c r="G455" i="22" s="1"/>
  <c r="C397" i="18"/>
  <c r="C397" i="22"/>
  <c r="C253" i="22"/>
  <c r="C253" i="18"/>
  <c r="E739" i="22"/>
  <c r="G739" i="22"/>
  <c r="E30" i="22"/>
  <c r="G30" i="22"/>
  <c r="C740" i="22"/>
  <c r="C163" i="18"/>
  <c r="C163" i="22"/>
  <c r="E118" i="18"/>
  <c r="E124" i="18" s="1"/>
  <c r="J125" i="18" s="1"/>
  <c r="G118" i="18"/>
  <c r="G124" i="18" s="1"/>
  <c r="K125" i="18" s="1"/>
  <c r="G118" i="22"/>
  <c r="G124" i="22" s="1"/>
  <c r="K125" i="22" s="1"/>
  <c r="E118" i="22"/>
  <c r="E124" i="22" s="1"/>
  <c r="J125" i="22" s="1"/>
  <c r="G30" i="18"/>
  <c r="E30" i="18"/>
  <c r="G590" i="22"/>
  <c r="E590" i="22"/>
  <c r="E688" i="22"/>
  <c r="G688" i="22"/>
  <c r="G443" i="18" l="1"/>
  <c r="G455" i="18" s="1"/>
  <c r="C298" i="22"/>
  <c r="C298" i="18"/>
  <c r="G397" i="22"/>
  <c r="G409" i="22" s="1"/>
  <c r="E397" i="22"/>
  <c r="E397" i="18"/>
  <c r="G397" i="18"/>
  <c r="G409" i="18" s="1"/>
  <c r="G253" i="22"/>
  <c r="G259" i="22" s="1"/>
  <c r="E253" i="22"/>
  <c r="E259" i="22" s="1"/>
  <c r="J260" i="22" s="1"/>
  <c r="C259" i="22"/>
  <c r="E253" i="18"/>
  <c r="E259" i="18" s="1"/>
  <c r="J260" i="18" s="1"/>
  <c r="C259" i="18"/>
  <c r="G253" i="18"/>
  <c r="G259" i="18" s="1"/>
  <c r="G163" i="22"/>
  <c r="G169" i="22" s="1"/>
  <c r="K170" i="22" s="1"/>
  <c r="E163" i="22"/>
  <c r="E169" i="22" s="1"/>
  <c r="J170" i="22" s="1"/>
  <c r="C169" i="22"/>
  <c r="G163" i="18"/>
  <c r="G169" i="18" s="1"/>
  <c r="K170" i="18" s="1"/>
  <c r="C169" i="18"/>
  <c r="E163" i="18"/>
  <c r="E169" i="18" s="1"/>
  <c r="J170" i="18" s="1"/>
  <c r="E740" i="22"/>
  <c r="G740" i="22"/>
  <c r="E298" i="22" l="1"/>
  <c r="E309" i="22" s="1"/>
  <c r="G298" i="22"/>
  <c r="G309" i="22" s="1"/>
  <c r="C309" i="22"/>
  <c r="C312" i="22" s="1"/>
  <c r="G298" i="18"/>
  <c r="G309" i="18" s="1"/>
  <c r="E298" i="18"/>
  <c r="E309" i="18" s="1"/>
  <c r="C309" i="18"/>
  <c r="C312" i="18" s="1"/>
  <c r="D265" i="18"/>
  <c r="K260" i="18"/>
  <c r="K260" i="22"/>
  <c r="D265" i="2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FLORABEL E. ADAYA</author>
    <author>FLORABEL</author>
    <author>nostar</author>
  </authors>
  <commentList>
    <comment ref="I3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FLORABEL E. ADAYA:</t>
        </r>
        <r>
          <rPr>
            <sz val="8"/>
            <color indexed="81"/>
            <rFont val="Tahoma"/>
            <family val="2"/>
          </rPr>
          <t xml:space="preserve">
TRate</t>
        </r>
      </text>
    </comment>
    <comment ref="I80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FLORABEL E. ADAYA:</t>
        </r>
        <r>
          <rPr>
            <sz val="8"/>
            <color indexed="81"/>
            <rFont val="Tahoma"/>
            <family val="2"/>
          </rPr>
          <t xml:space="preserve">
TRate</t>
        </r>
      </text>
    </comment>
    <comment ref="I125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FLORABEL E. ADAYA:</t>
        </r>
        <r>
          <rPr>
            <sz val="8"/>
            <color indexed="81"/>
            <rFont val="Tahoma"/>
            <family val="2"/>
          </rPr>
          <t xml:space="preserve">
TRate</t>
        </r>
      </text>
    </comment>
    <comment ref="I170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FLORABEL E. ADAYA:</t>
        </r>
        <r>
          <rPr>
            <sz val="8"/>
            <color indexed="81"/>
            <rFont val="Tahoma"/>
            <family val="2"/>
          </rPr>
          <t xml:space="preserve">
TRate</t>
        </r>
      </text>
    </comment>
    <comment ref="I215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FLORABEL E. ADAYA:</t>
        </r>
        <r>
          <rPr>
            <sz val="8"/>
            <color indexed="81"/>
            <rFont val="Tahoma"/>
            <family val="2"/>
          </rPr>
          <t xml:space="preserve">
TRate</t>
        </r>
      </text>
    </comment>
    <comment ref="I260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FLORABEL E. ADAYA:</t>
        </r>
        <r>
          <rPr>
            <sz val="8"/>
            <color indexed="81"/>
            <rFont val="Tahoma"/>
            <family val="2"/>
          </rPr>
          <t xml:space="preserve">
TRate</t>
        </r>
      </text>
    </comment>
    <comment ref="I299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FLORABEL:</t>
        </r>
        <r>
          <rPr>
            <sz val="9"/>
            <color indexed="81"/>
            <rFont val="Tahoma"/>
            <family val="2"/>
          </rPr>
          <t xml:space="preserve">
RFSC</t>
        </r>
      </text>
    </comment>
    <comment ref="C348" authorId="2" shapeId="0" xr:uid="{00000000-0006-0000-0000-000008000000}">
      <text>
        <r>
          <rPr>
            <b/>
            <sz val="9"/>
            <color indexed="81"/>
            <rFont val="Tahoma"/>
            <family val="2"/>
          </rPr>
          <t>Actual Implemented (0.0014)
Correct is 0.0013</t>
        </r>
      </text>
    </comment>
    <comment ref="I349" authorId="1" shapeId="0" xr:uid="{00000000-0006-0000-0000-000009000000}">
      <text>
        <r>
          <rPr>
            <b/>
            <sz val="9"/>
            <color indexed="81"/>
            <rFont val="Tahoma"/>
            <family val="2"/>
          </rPr>
          <t>FLORABEL:</t>
        </r>
        <r>
          <rPr>
            <sz val="9"/>
            <color indexed="81"/>
            <rFont val="Tahoma"/>
            <family val="2"/>
          </rPr>
          <t xml:space="preserve">
RFSC</t>
        </r>
      </text>
    </comment>
    <comment ref="I399" authorId="1" shapeId="0" xr:uid="{00000000-0006-0000-0000-00000A000000}">
      <text>
        <r>
          <rPr>
            <b/>
            <sz val="9"/>
            <color indexed="81"/>
            <rFont val="Tahoma"/>
            <family val="2"/>
          </rPr>
          <t>FLORABEL:</t>
        </r>
        <r>
          <rPr>
            <sz val="9"/>
            <color indexed="81"/>
            <rFont val="Tahoma"/>
            <family val="2"/>
          </rPr>
          <t xml:space="preserve">
RFSC</t>
        </r>
      </text>
    </comment>
    <comment ref="I445" authorId="1" shapeId="0" xr:uid="{00000000-0006-0000-0000-00000B000000}">
      <text>
        <r>
          <rPr>
            <b/>
            <sz val="9"/>
            <color indexed="81"/>
            <rFont val="Tahoma"/>
            <family val="2"/>
          </rPr>
          <t>FLORABEL:</t>
        </r>
        <r>
          <rPr>
            <sz val="9"/>
            <color indexed="81"/>
            <rFont val="Tahoma"/>
            <family val="2"/>
          </rPr>
          <t xml:space="preserve">
RFSC</t>
        </r>
      </text>
    </comment>
    <comment ref="A556" authorId="2" shapeId="0" xr:uid="{00000000-0006-0000-0000-00000C000000}">
      <text>
        <r>
          <rPr>
            <b/>
            <sz val="9"/>
            <color indexed="81"/>
            <rFont val="Tahoma"/>
            <family val="2"/>
          </rPr>
          <t>TRAC was suspended due to OVERCHARGING last month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FLORABEL E. ADAYA</author>
    <author>FLORABEL</author>
    <author>nostar</author>
  </authors>
  <commentList>
    <comment ref="I36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>FLORABEL E. ADAYA:</t>
        </r>
        <r>
          <rPr>
            <sz val="8"/>
            <color indexed="81"/>
            <rFont val="Tahoma"/>
            <family val="2"/>
          </rPr>
          <t xml:space="preserve">
TRate</t>
        </r>
      </text>
    </comment>
    <comment ref="I80" authorId="0" shapeId="0" xr:uid="{00000000-0006-0000-0B00-000002000000}">
      <text>
        <r>
          <rPr>
            <b/>
            <sz val="8"/>
            <color indexed="81"/>
            <rFont val="Tahoma"/>
            <family val="2"/>
          </rPr>
          <t>FLORABEL E. ADAYA:</t>
        </r>
        <r>
          <rPr>
            <sz val="8"/>
            <color indexed="81"/>
            <rFont val="Tahoma"/>
            <family val="2"/>
          </rPr>
          <t xml:space="preserve">
TRate</t>
        </r>
      </text>
    </comment>
    <comment ref="I125" authorId="0" shapeId="0" xr:uid="{00000000-0006-0000-0B00-000003000000}">
      <text>
        <r>
          <rPr>
            <b/>
            <sz val="8"/>
            <color indexed="81"/>
            <rFont val="Tahoma"/>
            <family val="2"/>
          </rPr>
          <t>FLORABEL E. ADAYA:</t>
        </r>
        <r>
          <rPr>
            <sz val="8"/>
            <color indexed="81"/>
            <rFont val="Tahoma"/>
            <family val="2"/>
          </rPr>
          <t xml:space="preserve">
TRate</t>
        </r>
      </text>
    </comment>
    <comment ref="I170" authorId="0" shapeId="0" xr:uid="{00000000-0006-0000-0B00-000004000000}">
      <text>
        <r>
          <rPr>
            <b/>
            <sz val="8"/>
            <color indexed="81"/>
            <rFont val="Tahoma"/>
            <family val="2"/>
          </rPr>
          <t>FLORABEL E. ADAYA:</t>
        </r>
        <r>
          <rPr>
            <sz val="8"/>
            <color indexed="81"/>
            <rFont val="Tahoma"/>
            <family val="2"/>
          </rPr>
          <t xml:space="preserve">
TRate</t>
        </r>
      </text>
    </comment>
    <comment ref="I215" authorId="0" shapeId="0" xr:uid="{00000000-0006-0000-0B00-000005000000}">
      <text>
        <r>
          <rPr>
            <b/>
            <sz val="8"/>
            <color indexed="81"/>
            <rFont val="Tahoma"/>
            <family val="2"/>
          </rPr>
          <t>FLORABEL E. ADAYA:</t>
        </r>
        <r>
          <rPr>
            <sz val="8"/>
            <color indexed="81"/>
            <rFont val="Tahoma"/>
            <family val="2"/>
          </rPr>
          <t xml:space="preserve">
TRate</t>
        </r>
      </text>
    </comment>
    <comment ref="I260" authorId="0" shapeId="0" xr:uid="{00000000-0006-0000-0B00-000006000000}">
      <text>
        <r>
          <rPr>
            <b/>
            <sz val="8"/>
            <color indexed="81"/>
            <rFont val="Tahoma"/>
            <family val="2"/>
          </rPr>
          <t>FLORABEL E. ADAYA:</t>
        </r>
        <r>
          <rPr>
            <sz val="8"/>
            <color indexed="81"/>
            <rFont val="Tahoma"/>
            <family val="2"/>
          </rPr>
          <t xml:space="preserve">
TRate</t>
        </r>
      </text>
    </comment>
    <comment ref="I299" authorId="1" shapeId="0" xr:uid="{00000000-0006-0000-0B00-000007000000}">
      <text>
        <r>
          <rPr>
            <b/>
            <sz val="9"/>
            <color indexed="81"/>
            <rFont val="Tahoma"/>
            <family val="2"/>
          </rPr>
          <t>FLORABEL:</t>
        </r>
        <r>
          <rPr>
            <sz val="9"/>
            <color indexed="81"/>
            <rFont val="Tahoma"/>
            <family val="2"/>
          </rPr>
          <t xml:space="preserve">
RFSC</t>
        </r>
      </text>
    </comment>
    <comment ref="C348" authorId="2" shapeId="0" xr:uid="{00000000-0006-0000-0B00-000008000000}">
      <text>
        <r>
          <rPr>
            <b/>
            <sz val="9"/>
            <color indexed="81"/>
            <rFont val="Tahoma"/>
            <family val="2"/>
          </rPr>
          <t>Actual Implemented (0.0014)
Correct is 0.0013</t>
        </r>
      </text>
    </comment>
    <comment ref="I349" authorId="1" shapeId="0" xr:uid="{00000000-0006-0000-0B00-000009000000}">
      <text>
        <r>
          <rPr>
            <b/>
            <sz val="9"/>
            <color indexed="81"/>
            <rFont val="Tahoma"/>
            <family val="2"/>
          </rPr>
          <t>FLORABEL:</t>
        </r>
        <r>
          <rPr>
            <sz val="9"/>
            <color indexed="81"/>
            <rFont val="Tahoma"/>
            <family val="2"/>
          </rPr>
          <t xml:space="preserve">
RFSC</t>
        </r>
      </text>
    </comment>
    <comment ref="I399" authorId="1" shapeId="0" xr:uid="{00000000-0006-0000-0B00-00000A000000}">
      <text>
        <r>
          <rPr>
            <b/>
            <sz val="9"/>
            <color indexed="81"/>
            <rFont val="Tahoma"/>
            <family val="2"/>
          </rPr>
          <t>FLORABEL:</t>
        </r>
        <r>
          <rPr>
            <sz val="9"/>
            <color indexed="81"/>
            <rFont val="Tahoma"/>
            <family val="2"/>
          </rPr>
          <t xml:space="preserve">
RFSC</t>
        </r>
      </text>
    </comment>
    <comment ref="I445" authorId="1" shapeId="0" xr:uid="{00000000-0006-0000-0B00-00000B000000}">
      <text>
        <r>
          <rPr>
            <b/>
            <sz val="9"/>
            <color indexed="81"/>
            <rFont val="Tahoma"/>
            <family val="2"/>
          </rPr>
          <t>FLORABEL:</t>
        </r>
        <r>
          <rPr>
            <sz val="9"/>
            <color indexed="81"/>
            <rFont val="Tahoma"/>
            <family val="2"/>
          </rPr>
          <t xml:space="preserve">
RFSC</t>
        </r>
      </text>
    </comment>
    <comment ref="I491" authorId="1" shapeId="0" xr:uid="{00000000-0006-0000-0B00-00000C000000}">
      <text>
        <r>
          <rPr>
            <b/>
            <sz val="9"/>
            <color indexed="81"/>
            <rFont val="Tahoma"/>
            <family val="2"/>
          </rPr>
          <t>FLORABEL:</t>
        </r>
        <r>
          <rPr>
            <sz val="9"/>
            <color indexed="81"/>
            <rFont val="Tahoma"/>
            <family val="2"/>
          </rPr>
          <t xml:space="preserve">
RFSC</t>
        </r>
      </text>
    </comment>
    <comment ref="I543" authorId="1" shapeId="0" xr:uid="{00000000-0006-0000-0B00-00000D000000}">
      <text>
        <r>
          <rPr>
            <b/>
            <sz val="9"/>
            <color indexed="81"/>
            <rFont val="Tahoma"/>
            <family val="2"/>
          </rPr>
          <t>FLORABEL:</t>
        </r>
        <r>
          <rPr>
            <sz val="9"/>
            <color indexed="81"/>
            <rFont val="Tahoma"/>
            <family val="2"/>
          </rPr>
          <t xml:space="preserve">
RFSC</t>
        </r>
      </text>
    </comment>
    <comment ref="A556" authorId="2" shapeId="0" xr:uid="{00000000-0006-0000-0B00-00000E000000}">
      <text>
        <r>
          <rPr>
            <b/>
            <sz val="9"/>
            <color indexed="81"/>
            <rFont val="Tahoma"/>
            <family val="2"/>
          </rPr>
          <t>TRAC was suspended due to OVERCHARGING last month</t>
        </r>
      </text>
    </comment>
    <comment ref="C592" authorId="2" shapeId="0" xr:uid="{00000000-0006-0000-0B00-00000F000000}">
      <text>
        <r>
          <rPr>
            <b/>
            <sz val="9"/>
            <color indexed="81"/>
            <rFont val="Tahoma"/>
            <family val="2"/>
          </rPr>
          <t xml:space="preserve">Supposedly 1st Implementation (0.1544) - Dec. 2013 however communication from PSALM thru fax was received last 12/24/13 - Rate Comp. was finished for Dec. 2013
</t>
        </r>
      </text>
    </comment>
    <comment ref="I594" authorId="1" shapeId="0" xr:uid="{00000000-0006-0000-0B00-000010000000}">
      <text>
        <r>
          <rPr>
            <b/>
            <sz val="9"/>
            <color indexed="81"/>
            <rFont val="Tahoma"/>
            <family val="2"/>
          </rPr>
          <t>FLORABEL:</t>
        </r>
        <r>
          <rPr>
            <sz val="9"/>
            <color indexed="81"/>
            <rFont val="Tahoma"/>
            <family val="2"/>
          </rPr>
          <t xml:space="preserve">
RFSC</t>
        </r>
      </text>
    </comment>
    <comment ref="A604" authorId="2" shapeId="0" xr:uid="{00000000-0006-0000-0B00-000011000000}">
      <text>
        <r>
          <rPr>
            <b/>
            <sz val="9"/>
            <color indexed="81"/>
            <rFont val="Tahoma"/>
            <family val="2"/>
          </rPr>
          <t>TRAC was suspended due to OVERCHARGING last month</t>
        </r>
      </text>
    </comment>
    <comment ref="C641" authorId="2" shapeId="0" xr:uid="{00000000-0006-0000-0B00-000012000000}">
      <text>
        <r>
          <rPr>
            <b/>
            <sz val="9"/>
            <color indexed="81"/>
            <rFont val="Tahoma"/>
            <family val="2"/>
          </rPr>
          <t>Addt'l of 0.0017 - first Implementation (Feb. 2014)</t>
        </r>
      </text>
    </comment>
    <comment ref="I643" authorId="1" shapeId="0" xr:uid="{00000000-0006-0000-0B00-000013000000}">
      <text>
        <r>
          <rPr>
            <b/>
            <sz val="9"/>
            <color indexed="81"/>
            <rFont val="Tahoma"/>
            <family val="2"/>
          </rPr>
          <t>FLORABEL:</t>
        </r>
        <r>
          <rPr>
            <sz val="9"/>
            <color indexed="81"/>
            <rFont val="Tahoma"/>
            <family val="2"/>
          </rPr>
          <t xml:space="preserve">
RFSC</t>
        </r>
      </text>
    </comment>
    <comment ref="A653" authorId="2" shapeId="0" xr:uid="{00000000-0006-0000-0B00-000014000000}">
      <text>
        <r>
          <rPr>
            <b/>
            <sz val="9"/>
            <color indexed="81"/>
            <rFont val="Tahoma"/>
            <family val="2"/>
          </rPr>
          <t>TRAC was suspended due to OVERCHARGING last month</t>
        </r>
      </text>
    </comment>
    <comment ref="C693" authorId="2" shapeId="0" xr:uid="{00000000-0006-0000-0B00-000015000000}">
      <text>
        <r>
          <rPr>
            <sz val="9"/>
            <color indexed="81"/>
            <rFont val="Tahoma"/>
            <family val="2"/>
          </rPr>
          <t>Addt'l of 0.0381 &amp;  0.0017 - deferred per ERC decision per email from PSALM dated March 4, 2014</t>
        </r>
      </text>
    </comment>
    <comment ref="I695" authorId="1" shapeId="0" xr:uid="{00000000-0006-0000-0B00-000016000000}">
      <text>
        <r>
          <rPr>
            <b/>
            <sz val="9"/>
            <color indexed="81"/>
            <rFont val="Tahoma"/>
            <family val="2"/>
          </rPr>
          <t>FLORABEL:</t>
        </r>
        <r>
          <rPr>
            <sz val="9"/>
            <color indexed="81"/>
            <rFont val="Tahoma"/>
            <family val="2"/>
          </rPr>
          <t xml:space="preserve">
RFSC</t>
        </r>
      </text>
    </comment>
    <comment ref="A705" authorId="2" shapeId="0" xr:uid="{00000000-0006-0000-0B00-000017000000}">
      <text>
        <r>
          <rPr>
            <b/>
            <sz val="9"/>
            <color indexed="81"/>
            <rFont val="Tahoma"/>
            <family val="2"/>
          </rPr>
          <t>TRAC was suspended due to OVERCHARGING last month</t>
        </r>
      </text>
    </comment>
    <comment ref="C745" authorId="2" shapeId="0" xr:uid="{00000000-0006-0000-0B00-000018000000}">
      <text>
        <r>
          <rPr>
            <sz val="9"/>
            <color indexed="81"/>
            <rFont val="Tahoma"/>
            <family val="2"/>
          </rPr>
          <t>Addt'l of 0.0381 &amp;  0.0017 - deferred per ERC decision per email from PSALM dated March 4, 2014</t>
        </r>
      </text>
    </comment>
    <comment ref="A757" authorId="2" shapeId="0" xr:uid="{00000000-0006-0000-0B00-000019000000}">
      <text>
        <r>
          <rPr>
            <b/>
            <sz val="9"/>
            <color indexed="81"/>
            <rFont val="Tahoma"/>
            <family val="2"/>
          </rPr>
          <t>TRAC was suspended due to OVERCHARGING last month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FLORABEL</author>
    <author>nostar</author>
  </authors>
  <commentList>
    <comment ref="J10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FLORABEL:</t>
        </r>
        <r>
          <rPr>
            <sz val="9"/>
            <color indexed="81"/>
            <rFont val="Tahoma"/>
            <family val="2"/>
          </rPr>
          <t xml:space="preserve">
TOTAL LIFELINE SALES in KWH LESS: LIFELINE SENIOR CITIZENS (1-20 kwh ) consumption</t>
        </r>
      </text>
    </comment>
    <comment ref="K10" authorId="0" shapeId="0" xr:uid="{00000000-0006-0000-0E00-000002000000}">
      <text>
        <r>
          <rPr>
            <b/>
            <sz val="9"/>
            <color indexed="81"/>
            <rFont val="Tahoma"/>
            <family val="2"/>
          </rPr>
          <t>FLORABEL:</t>
        </r>
        <r>
          <rPr>
            <sz val="9"/>
            <color indexed="81"/>
            <rFont val="Tahoma"/>
            <family val="2"/>
          </rPr>
          <t xml:space="preserve">
TOTAL SENIOR CITIZEN (1-100 KWH) inclusive of Lifeline Senior Citizens 
Corrected in July 2013 RATE</t>
        </r>
      </text>
    </comment>
    <comment ref="J17" authorId="0" shapeId="0" xr:uid="{00000000-0006-0000-0E00-000003000000}">
      <text>
        <r>
          <rPr>
            <b/>
            <sz val="9"/>
            <color indexed="81"/>
            <rFont val="Tahoma"/>
            <family val="2"/>
          </rPr>
          <t>FLORABEL:</t>
        </r>
        <r>
          <rPr>
            <sz val="9"/>
            <color indexed="81"/>
            <rFont val="Tahoma"/>
            <family val="2"/>
          </rPr>
          <t xml:space="preserve">
882 senior citizen lifeliners (1-20kwh consumers)
</t>
        </r>
      </text>
    </comment>
    <comment ref="F70" authorId="0" shapeId="0" xr:uid="{00000000-0006-0000-0E00-000004000000}">
      <text>
        <r>
          <rPr>
            <b/>
            <sz val="9"/>
            <color indexed="81"/>
            <rFont val="Tahoma"/>
            <family val="2"/>
          </rPr>
          <t>FLORABEL:</t>
        </r>
        <r>
          <rPr>
            <sz val="9"/>
            <color indexed="81"/>
            <rFont val="Tahoma"/>
            <family val="2"/>
          </rPr>
          <t xml:space="preserve">
TOTAL LIFELINE SALES in KWH LESS: LIFELINE SENIOR CITIZENS (1-20 kwh ) consumption</t>
        </r>
      </text>
    </comment>
    <comment ref="G70" authorId="0" shapeId="0" xr:uid="{00000000-0006-0000-0E00-000005000000}">
      <text>
        <r>
          <rPr>
            <b/>
            <sz val="9"/>
            <color indexed="81"/>
            <rFont val="Tahoma"/>
            <family val="2"/>
          </rPr>
          <t>FLORABEL:</t>
        </r>
        <r>
          <rPr>
            <sz val="9"/>
            <color indexed="81"/>
            <rFont val="Tahoma"/>
            <family val="2"/>
          </rPr>
          <t xml:space="preserve">
TOTAL SENIOR CITIZEN (1-100 KWH) inclusive of Lifeline Senior Citizens 
Corrected in July 2013 RATE</t>
        </r>
      </text>
    </comment>
    <comment ref="F77" authorId="0" shapeId="0" xr:uid="{00000000-0006-0000-0E00-000006000000}">
      <text>
        <r>
          <rPr>
            <b/>
            <sz val="9"/>
            <color indexed="81"/>
            <rFont val="Tahoma"/>
            <family val="2"/>
          </rPr>
          <t>FLORABEL:</t>
        </r>
        <r>
          <rPr>
            <sz val="9"/>
            <color indexed="81"/>
            <rFont val="Tahoma"/>
            <family val="2"/>
          </rPr>
          <t xml:space="preserve">
882 senior citizen lifeliners (1-20kwh consumers)
</t>
        </r>
      </text>
    </comment>
    <comment ref="F78" authorId="0" shapeId="0" xr:uid="{00000000-0006-0000-0E00-000007000000}">
      <text>
        <r>
          <rPr>
            <b/>
            <sz val="9"/>
            <color indexed="81"/>
            <rFont val="Tahoma"/>
            <family val="2"/>
          </rPr>
          <t>FLORABEL:</t>
        </r>
        <r>
          <rPr>
            <sz val="9"/>
            <color indexed="81"/>
            <rFont val="Tahoma"/>
            <family val="2"/>
          </rPr>
          <t xml:space="preserve">
931 total consumption of senior citizen lifeliners (1-20kwh consumers)
</t>
        </r>
      </text>
    </comment>
    <comment ref="F79" authorId="0" shapeId="0" xr:uid="{00000000-0006-0000-0E00-000008000000}">
      <text>
        <r>
          <rPr>
            <b/>
            <sz val="9"/>
            <color indexed="81"/>
            <rFont val="Tahoma"/>
            <family val="2"/>
          </rPr>
          <t>FLORABEL:</t>
        </r>
        <r>
          <rPr>
            <sz val="9"/>
            <color indexed="81"/>
            <rFont val="Tahoma"/>
            <family val="2"/>
          </rPr>
          <t xml:space="preserve">
811 total consumption of senior citizen lifeliners (1-20kwh consumers)
</t>
        </r>
      </text>
    </comment>
    <comment ref="F80" authorId="0" shapeId="0" xr:uid="{00000000-0006-0000-0E00-000009000000}">
      <text>
        <r>
          <rPr>
            <b/>
            <sz val="9"/>
            <color indexed="81"/>
            <rFont val="Tahoma"/>
            <family val="2"/>
          </rPr>
          <t>FLORABEL:</t>
        </r>
        <r>
          <rPr>
            <sz val="9"/>
            <color indexed="81"/>
            <rFont val="Tahoma"/>
            <family val="2"/>
          </rPr>
          <t xml:space="preserve">
757 total consumption of senior citizen lifeliners (1-20kwh consumers)
</t>
        </r>
      </text>
    </comment>
    <comment ref="F102" authorId="1" shapeId="0" xr:uid="{00000000-0006-0000-0E00-00000A000000}">
      <text>
        <r>
          <rPr>
            <b/>
            <sz val="9"/>
            <color indexed="81"/>
            <rFont val="Tahoma"/>
            <family val="2"/>
          </rPr>
          <t>Implemented(Actual)
0.0014/kwh</t>
        </r>
      </text>
    </comment>
  </commentList>
</comments>
</file>

<file path=xl/sharedStrings.xml><?xml version="1.0" encoding="utf-8"?>
<sst xmlns="http://schemas.openxmlformats.org/spreadsheetml/2006/main" count="4206" uniqueCount="366">
  <si>
    <t>Hilongos, Leyte</t>
  </si>
  <si>
    <t>VISCA</t>
  </si>
  <si>
    <t>Total</t>
  </si>
  <si>
    <t>RESIDENTIAL</t>
  </si>
  <si>
    <t>Prepared by:</t>
  </si>
  <si>
    <t>Submitted by:</t>
  </si>
  <si>
    <t>Residential</t>
  </si>
  <si>
    <t>Commercial</t>
  </si>
  <si>
    <t>Industrial</t>
  </si>
  <si>
    <t>GENERATION</t>
  </si>
  <si>
    <t>TOTAL</t>
  </si>
  <si>
    <t>Reviewed by:</t>
  </si>
  <si>
    <t xml:space="preserve">    Internal Auditor</t>
  </si>
  <si>
    <t>High Voltage</t>
  </si>
  <si>
    <t>FLORABEL E. ADAYA</t>
  </si>
  <si>
    <t>Feb. 26, 2011 - Mar. 25, 2011</t>
  </si>
  <si>
    <t>BASIC CHARGES:</t>
  </si>
  <si>
    <t>a.</t>
  </si>
  <si>
    <t>b.</t>
  </si>
  <si>
    <t>c.</t>
  </si>
  <si>
    <t>TOU Energy</t>
  </si>
  <si>
    <t>UNREGISTERED TOU Energy</t>
  </si>
  <si>
    <t>NON-TOU Energy</t>
  </si>
  <si>
    <t>Sub-total</t>
  </si>
  <si>
    <t>ADJUSTMENTS:</t>
  </si>
  <si>
    <t>9th GRAM</t>
  </si>
  <si>
    <t>9th-14th ICERA (Debt Service &amp; OPEX)</t>
  </si>
  <si>
    <t>Power Act Reduction Adjustment (PARA)</t>
  </si>
  <si>
    <t>Generation Charge:</t>
  </si>
  <si>
    <t>1.</t>
  </si>
  <si>
    <t>2</t>
  </si>
  <si>
    <t>Franchise and Benefits to Host Communities</t>
  </si>
  <si>
    <t>2.</t>
  </si>
  <si>
    <t>3.</t>
  </si>
  <si>
    <t>4.</t>
  </si>
  <si>
    <t>5.</t>
  </si>
  <si>
    <t>6.</t>
  </si>
  <si>
    <t>Power Act Reduction (PAR)</t>
  </si>
  <si>
    <t>Deferred Accounting Adjustment (DAA):</t>
  </si>
  <si>
    <t>FPPCA and FxA (ACRM)</t>
  </si>
  <si>
    <t>Minimum Charge Adjustment</t>
  </si>
  <si>
    <t>Service Interruption Adjustment</t>
  </si>
  <si>
    <t>Excess Energy Consumption Adjustment</t>
  </si>
  <si>
    <t>Others</t>
  </si>
  <si>
    <t>7.</t>
  </si>
  <si>
    <t>kWh</t>
  </si>
  <si>
    <t>Rate/kWh</t>
  </si>
  <si>
    <t>Low Voltage</t>
  </si>
  <si>
    <t>LOW VOLTAGE</t>
  </si>
  <si>
    <t>(Paid per CV# 3509 - 9/17/12; Installment 3 of 4)</t>
  </si>
  <si>
    <t>There is still WESM Adj.</t>
  </si>
  <si>
    <t>VAT</t>
  </si>
  <si>
    <t>Ask ma'am bebie KWH Sales Commercial, Industrial, Public Bldg. &amp; Streetlights per town</t>
  </si>
  <si>
    <t>JANUARY, 2013</t>
  </si>
  <si>
    <t>FEBRUARY, 2013</t>
  </si>
  <si>
    <t>MARCH, 2013</t>
  </si>
  <si>
    <t>APRIL, 2013</t>
  </si>
  <si>
    <t>MAY, 2013</t>
  </si>
  <si>
    <t>HIGH VOLTAGE</t>
  </si>
  <si>
    <t>JUNE, 2013</t>
  </si>
  <si>
    <t>EFFECTIVE RATE</t>
  </si>
  <si>
    <t>July, 2013</t>
  </si>
  <si>
    <t>c</t>
  </si>
  <si>
    <t>JULY, 2013</t>
  </si>
  <si>
    <t>LEYTE IV ELECTRIC COOPERATIVE INC.</t>
  </si>
  <si>
    <t>SENIOR CITIZENS COMPUTATION OF SUBSIDIZING KWH SALES</t>
  </si>
  <si>
    <t>For the year 2013</t>
  </si>
  <si>
    <t>Month Covered</t>
  </si>
  <si>
    <t>KWH Sales</t>
  </si>
  <si>
    <t>Subsidizing</t>
  </si>
  <si>
    <t>Pub. Bldg.</t>
  </si>
  <si>
    <t>Street Light</t>
  </si>
  <si>
    <t>Lifeline</t>
  </si>
  <si>
    <t>Sr. Citizens</t>
  </si>
  <si>
    <t>December 2012</t>
  </si>
  <si>
    <t>January 2013</t>
  </si>
  <si>
    <t>February 2013</t>
  </si>
  <si>
    <t>March 2013</t>
  </si>
  <si>
    <t>April 2013</t>
  </si>
  <si>
    <t>May 2013</t>
  </si>
  <si>
    <t>June 2013</t>
  </si>
  <si>
    <t>July 2013</t>
  </si>
  <si>
    <t>August 2013</t>
  </si>
  <si>
    <t>September 2013</t>
  </si>
  <si>
    <t>October 2013</t>
  </si>
  <si>
    <t>November 2013</t>
  </si>
  <si>
    <t>December 2013</t>
  </si>
  <si>
    <t>SENIOR CITIZENS COMPUTATION OF SUBSIDY RATE</t>
  </si>
  <si>
    <t>Annex A-3</t>
  </si>
  <si>
    <t>Billing Months</t>
  </si>
  <si>
    <t>Amt. of Sr. Citizen Discount</t>
  </si>
  <si>
    <t>Subsidizing Kwh</t>
  </si>
  <si>
    <t>Month of Implementation</t>
  </si>
  <si>
    <t>Institution</t>
  </si>
  <si>
    <t>Consumption</t>
  </si>
  <si>
    <t>Subsidy Rate</t>
  </si>
  <si>
    <t>a</t>
  </si>
  <si>
    <t>b</t>
  </si>
  <si>
    <t>d = (a x b)/c</t>
  </si>
  <si>
    <t>JAN. 2012 Rate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</si>
  <si>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</si>
  <si>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</si>
  <si>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</si>
  <si>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</si>
  <si>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</si>
  <si>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</si>
  <si>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</si>
  <si>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</si>
  <si>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</si>
  <si>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</si>
  <si>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</si>
  <si>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JAN. 2013 Rate</t>
  </si>
  <si>
    <t>(Dec. 2011 data)</t>
  </si>
  <si>
    <t>(Dec. 2012 data)</t>
  </si>
  <si>
    <t>PAGE 1</t>
  </si>
  <si>
    <t>B</t>
  </si>
  <si>
    <t>PAGE 2</t>
  </si>
  <si>
    <t>C</t>
  </si>
  <si>
    <t>PAGE 3</t>
  </si>
  <si>
    <t>D</t>
  </si>
  <si>
    <t>PAGE 4</t>
  </si>
  <si>
    <t>E</t>
  </si>
  <si>
    <t>PAGE 5</t>
  </si>
  <si>
    <t>F</t>
  </si>
  <si>
    <t>PAGE 6</t>
  </si>
  <si>
    <t>PAGE 7</t>
  </si>
  <si>
    <t>G</t>
  </si>
  <si>
    <t>PAGE 8</t>
  </si>
  <si>
    <t>PAGE 9</t>
  </si>
  <si>
    <t>PAGE 10</t>
  </si>
  <si>
    <t>kwh</t>
  </si>
  <si>
    <t>August, 2013</t>
  </si>
  <si>
    <t>September, 2013</t>
  </si>
  <si>
    <t>October, 2013</t>
  </si>
  <si>
    <t>November, 2013</t>
  </si>
  <si>
    <t>PhP/kwh</t>
  </si>
  <si>
    <t>Php/Cust.</t>
  </si>
  <si>
    <t>Generation Charge</t>
  </si>
  <si>
    <t>Transmission Charge</t>
  </si>
  <si>
    <t>Systems loss</t>
  </si>
  <si>
    <t>Distribution charge</t>
  </si>
  <si>
    <t>Supply Charge</t>
  </si>
  <si>
    <t>Metering Charge</t>
  </si>
  <si>
    <t>Pahinado</t>
  </si>
  <si>
    <t>Primary Agg.</t>
  </si>
  <si>
    <t>KW</t>
  </si>
  <si>
    <t>Residential (Sr. Citizen)</t>
  </si>
  <si>
    <t>Low V.</t>
  </si>
  <si>
    <t>kwh(lifeline, not to subsidized Sr Citizen)</t>
  </si>
  <si>
    <t>GENERATION CHARGES</t>
  </si>
  <si>
    <t xml:space="preserve">    Generation Charge</t>
  </si>
  <si>
    <t xml:space="preserve">    FBHC Charge</t>
  </si>
  <si>
    <t xml:space="preserve">    DAA (10th-17th GRAM)</t>
  </si>
  <si>
    <t xml:space="preserve">    DAA (15th-16th ICERA)</t>
  </si>
  <si>
    <t xml:space="preserve">              TOTAL</t>
  </si>
  <si>
    <t xml:space="preserve">     Power Act Reduction</t>
  </si>
  <si>
    <t>TRANSMISSION CHARGES</t>
  </si>
  <si>
    <t xml:space="preserve">     Demand Charge</t>
  </si>
  <si>
    <t>PhP/kw</t>
  </si>
  <si>
    <t xml:space="preserve">     Transmission System Charge</t>
  </si>
  <si>
    <t>SYSTEM LOSS CHARGE</t>
  </si>
  <si>
    <t>DISTRIBUTION CHARGES</t>
  </si>
  <si>
    <t xml:space="preserve">      Demand Charge</t>
  </si>
  <si>
    <t xml:space="preserve">      Distribution System Charge</t>
  </si>
  <si>
    <t>SUPPLY CHARGES</t>
  </si>
  <si>
    <t xml:space="preserve">      Retail Customer Charge                        PhP/cust./mo.</t>
  </si>
  <si>
    <t>PhP/cust./mo.</t>
  </si>
  <si>
    <t xml:space="preserve">      Supply System Charge</t>
  </si>
  <si>
    <t>METERING CHARGES</t>
  </si>
  <si>
    <t xml:space="preserve">      Retail Customer Charge                       PhP/meter/mo.</t>
  </si>
  <si>
    <t>PhP/meter/mo.</t>
  </si>
  <si>
    <t xml:space="preserve">      Metering System Charge</t>
  </si>
  <si>
    <t>LIFELINE RATE(DISCOUNT)/SUBSIDY</t>
  </si>
  <si>
    <t>Senior Citizen Rate (Subsidy)</t>
  </si>
  <si>
    <t>UNIVERSAL CHARGE</t>
  </si>
  <si>
    <t xml:space="preserve">      Missionary Electrification Charge</t>
  </si>
  <si>
    <t xml:space="preserve">      Environmental Charge</t>
  </si>
  <si>
    <t>Reinv't Fund for Sustainable CAPEX (RFSC)</t>
  </si>
  <si>
    <t>Rate per KWH</t>
  </si>
  <si>
    <t>FIXED CHARGE</t>
  </si>
  <si>
    <t>EVAT(Gen.)</t>
  </si>
  <si>
    <t>FIXED CHARGE / KW Demand</t>
  </si>
  <si>
    <t>EVAT</t>
  </si>
  <si>
    <t>EVAT(Trans)</t>
  </si>
  <si>
    <t xml:space="preserve">           Peso/kwh </t>
  </si>
  <si>
    <t>Percentage (%)</t>
  </si>
  <si>
    <t>EVAT(SL)</t>
  </si>
  <si>
    <t>Generation</t>
  </si>
  <si>
    <t>Transmission</t>
  </si>
  <si>
    <t>System Loss</t>
  </si>
  <si>
    <t>Distribution</t>
  </si>
  <si>
    <t>EVAT (Dist.)</t>
  </si>
  <si>
    <t>Submitted by:                              Verified/Reviewed by:</t>
  </si>
  <si>
    <t>Approved by:</t>
  </si>
  <si>
    <t>ROSILA R. FLANDEZ                  FLORABEL E. ADAYA</t>
  </si>
  <si>
    <t>HELEN B. YBANEZ</t>
  </si>
  <si>
    <t xml:space="preserve">     FSD Manager                             Internal Auditor</t>
  </si>
  <si>
    <t xml:space="preserve"> General Manager</t>
  </si>
  <si>
    <t>NEW RATE PER ERC CASE NO. 2011-091RC Decision/Jan. 28, 2013</t>
  </si>
  <si>
    <t>(With Adj. for Rate in March 2013 - Correct is P0.1163 , the amount passed on is P0.1938 --&gt; over by 0.0775</t>
  </si>
  <si>
    <t xml:space="preserve">      Stranded Contract Costs</t>
  </si>
  <si>
    <t>(March 2013 &amp; May 2013)</t>
  </si>
  <si>
    <t>Effective Rate:</t>
  </si>
  <si>
    <t>SENIOR CITIZEN LEVEL</t>
  </si>
  <si>
    <t>No. Of Customers</t>
  </si>
  <si>
    <t>Lifeline Discount Rate</t>
  </si>
  <si>
    <t>SENIOR CITIZEN DISCOUNT (Php)</t>
  </si>
  <si>
    <t>Total Senior Citizen Discount</t>
  </si>
  <si>
    <t>Computation of Senior Citizen Discount - JULY 2013</t>
  </si>
  <si>
    <t xml:space="preserve">    DAA (15th-16th ICERA) 15/60</t>
  </si>
  <si>
    <t xml:space="preserve">    DAA (10th-17th GRAM) 15/126</t>
  </si>
  <si>
    <t xml:space="preserve">      Generation VAT</t>
  </si>
  <si>
    <t xml:space="preserve">      Transmission VAT</t>
  </si>
  <si>
    <t xml:space="preserve">      System Loss VAT</t>
  </si>
  <si>
    <t xml:space="preserve">      Distribution VAT</t>
  </si>
  <si>
    <t>%</t>
  </si>
  <si>
    <t>FIXED Distribution CHARGE / KW Demand</t>
  </si>
  <si>
    <t xml:space="preserve">     FSD Manager</t>
  </si>
  <si>
    <t>Verified/Reviewed by:</t>
  </si>
  <si>
    <t>RHEA JANE A. BERSAMIN</t>
  </si>
  <si>
    <t xml:space="preserve">       Internal Auditor</t>
  </si>
  <si>
    <t xml:space="preserve">      Retail Customer Charge                  </t>
  </si>
  <si>
    <t>PRINCE</t>
  </si>
  <si>
    <t>AUGUST, 2013</t>
  </si>
  <si>
    <t>AUGUST 2013</t>
  </si>
  <si>
    <t>JULY 2013</t>
  </si>
  <si>
    <t>Computation of Senior Citizen Discount - AUGUST 2013</t>
  </si>
  <si>
    <t>SEPTEMBER, 2013</t>
  </si>
  <si>
    <t>SEPTEMBER 2013</t>
  </si>
  <si>
    <t>Computation of Senior Citizen Discount - SEPTEMBER 2013</t>
  </si>
  <si>
    <t xml:space="preserve">    DAA (10th-17th GRAM) 16/126</t>
  </si>
  <si>
    <t xml:space="preserve">    DAA (15th-16th ICERA) 16/60</t>
  </si>
  <si>
    <t xml:space="preserve">    DAA (10th-17th GRAM) 17/126</t>
  </si>
  <si>
    <t xml:space="preserve">    DAA (15th-16th ICERA) 17/60</t>
  </si>
  <si>
    <t>OCTOBER 2013</t>
  </si>
  <si>
    <t xml:space="preserve">WESM Bill Adj. for the period May 26, 2013 to June 25, 2013 per INV0025504 dated 9/13/13 </t>
  </si>
  <si>
    <t>OCTOBER, 2013</t>
  </si>
  <si>
    <t>Computation of Senior Citizen Discount - OCTOBER 2013</t>
  </si>
  <si>
    <t xml:space="preserve">WESM Bill Adj. for the period May 26, 2013 to June 25, 2013 per INV0026150 dated 10/10/13 </t>
  </si>
  <si>
    <t>SENIOR CITIZEN LEVEL (Kwh Consumption)</t>
  </si>
  <si>
    <t>NOVEMBER, 2013</t>
  </si>
  <si>
    <t>NOVEMBER 2013</t>
  </si>
  <si>
    <t>TRAC (Tax Recovery Adj. Charge-Franchise Tax)</t>
  </si>
  <si>
    <t xml:space="preserve">      Municipalities of Inopacan - Matalom</t>
  </si>
  <si>
    <t xml:space="preserve">      Baybay City</t>
  </si>
  <si>
    <t>Computation of Senior Citizen Discount - NOVEMBER 2013</t>
  </si>
  <si>
    <t>Rate per KWH (Inopacan to Matalom)</t>
  </si>
  <si>
    <t>Rate per KWH (Baybay City)</t>
  </si>
  <si>
    <t>RATE COMPONENT</t>
  </si>
  <si>
    <t>NOV. 2013</t>
  </si>
  <si>
    <t>OCT. 2013</t>
  </si>
  <si>
    <t>System Loss Charge</t>
  </si>
  <si>
    <t>Lifeline Rate Subsidy Charge</t>
  </si>
  <si>
    <t>Senior Citizen Subsidy Charge</t>
  </si>
  <si>
    <t>TRAC (Tax Recovery Adj. Charge)</t>
  </si>
  <si>
    <t>INCREASE (Decrease)</t>
  </si>
  <si>
    <t xml:space="preserve">     The LEYECO IV Board and Management strongly encourage all its member-consumers to conserve energy to avoid paying high electricity bills.</t>
  </si>
  <si>
    <t xml:space="preserve">     Thank you.</t>
  </si>
  <si>
    <r>
      <t xml:space="preserve">The Board and Management of LEYTE IV Electric Cooperative, Inc. (LEYECO IV) would like to inform our electricity consumers that the residential rate for </t>
    </r>
    <r>
      <rPr>
        <b/>
        <u/>
        <sz val="10.5"/>
        <color indexed="8"/>
        <rFont val="Arial"/>
        <family val="2"/>
      </rPr>
      <t>NOVEMBER 2013 billing is P10.2196/kWh</t>
    </r>
    <r>
      <rPr>
        <sz val="10.5"/>
        <color indexed="8"/>
        <rFont val="Arial"/>
        <family val="2"/>
      </rPr>
      <t xml:space="preserve"> as compared to last month’s P9.4606/kWh, has increased by P0.7590/kWh or 8.02%. The said increase is attributed to the following factors reflected on the figure below:</t>
    </r>
  </si>
  <si>
    <t xml:space="preserve">     Out of the PHP 0.7590/kwh rate increase, 46.32% contributed to increase in Generation Charges. Since one of LEYECO IV's power suppliers - the GNPower Mariveles Coal Plant Ltd. Co., is undergoing maintenance of its plants, LEYECO IV purchased the lacking power requirement from the WESM or Wholesale Electricity Spot Market which offers a higher price.</t>
  </si>
  <si>
    <t xml:space="preserve">     The primary contributing factor to the Rate Increase in November billing is the start of implemetation of LEYECO IV's Tax Recovery Adjustment Charge-Franchise Tax as per ERC Decision on ERC Case No. 2013-001CF authorizing LEYECO IV to recover from its member-consumers the Franchise Tax payments made to the Provincial Government of Leyte and the Provincial City of Baybay from years 2000 to 2011.</t>
  </si>
  <si>
    <t xml:space="preserve">WESM Bill Adj. for the period May 26, 2013 to June 25, 2013 per INV0026860 dated 11/13/13 </t>
  </si>
  <si>
    <t xml:space="preserve">WESM Bill Adj. for the period Jun. 26, 2013 to Jul. 25, 2013 per INV0027459 dated 11/13/13 </t>
  </si>
  <si>
    <t>DECEMBER 2013</t>
  </si>
  <si>
    <t>DECEMBER, 2013</t>
  </si>
  <si>
    <t>Computation of Senior Citizen Discount - DECEMBER 2013</t>
  </si>
  <si>
    <t>TRAC - Suspended due to over charging last month</t>
  </si>
  <si>
    <t>Final WESM bill per INV0028853-12/12/13 for the billing period Oct. 26, 2013 - Nov. 25, 2013</t>
  </si>
  <si>
    <t>LIFELINE RATE (Discount)/Subsidy</t>
  </si>
  <si>
    <t xml:space="preserve">SENIOR CITIZEN Subsidy   </t>
  </si>
  <si>
    <t>January, 2014</t>
  </si>
  <si>
    <t xml:space="preserve">WESM Bill Adj. for the period May 26, 2013 to June 25, 2013 per INV0028135 dated 12/11/13 </t>
  </si>
  <si>
    <t xml:space="preserve">WESM Bill Adj. for the period Jun. 26, 2013 to Jul. 25, 2013 per INV0028464 dated 12/11/13 </t>
  </si>
  <si>
    <t>INV0023183</t>
  </si>
  <si>
    <t>INV0025504</t>
  </si>
  <si>
    <t>INV0026150</t>
  </si>
  <si>
    <t>INV0026860</t>
  </si>
  <si>
    <t>INV0028135</t>
  </si>
  <si>
    <t>INV0028464</t>
  </si>
  <si>
    <t>Final WESM Statement per INV0024043 dated 8/12/13 for the billing period June 26, 2013 to July 25, 2013</t>
  </si>
  <si>
    <t>INV0024043</t>
  </si>
  <si>
    <t>Final WESM Statement per INV0025167 dated 9/12/13 for the billing period July 26, 2013 to Aug. 25, 2013</t>
  </si>
  <si>
    <t>INV0025167</t>
  </si>
  <si>
    <t>Final WESM Statement per INV0026363 dated 10/11/13 for the billing period Aug. 26, 2013 to Sept. 25, 2013</t>
  </si>
  <si>
    <t>INV0026363</t>
  </si>
  <si>
    <t>A/R - PEMC</t>
  </si>
  <si>
    <t>Final WESM Statement per INV0027234 dated 11/12/13 for the billing period Sept. 26, 2013 to Oct. 25, 2013</t>
  </si>
  <si>
    <t>INV0027234</t>
  </si>
  <si>
    <t>INV0028853</t>
  </si>
  <si>
    <t>Total Receivables (Net)</t>
  </si>
  <si>
    <t>divided by</t>
  </si>
  <si>
    <t>No. of Months: 6</t>
  </si>
  <si>
    <t>Monthly Average Total (Total Receivables/No. of Months)</t>
  </si>
  <si>
    <t>Daily Average (Monthly Average total/30 days)</t>
  </si>
  <si>
    <t>COMPUTATION OF ANNUAL MAXIMUM NET EXPOSURE</t>
  </si>
  <si>
    <t>Maximum Net Exposure (Daily Average * 63 days)</t>
  </si>
  <si>
    <t>Total Maximum Net Exposure</t>
  </si>
  <si>
    <t>PRUDENTIAL DEPOSIT</t>
  </si>
  <si>
    <t>Prudential Deposit</t>
  </si>
  <si>
    <t>Interest earned by Prudential Deposit (as of November 30, 2013</t>
  </si>
  <si>
    <t>Total Prudential Deposit</t>
  </si>
  <si>
    <t>LC</t>
  </si>
  <si>
    <t>EXCESS (Deficit)</t>
  </si>
  <si>
    <t>MONTH 1 (June 2013)</t>
  </si>
  <si>
    <t>MONTH 2 (July 2013)</t>
  </si>
  <si>
    <t>MONTH 3 (Aug. 2013)</t>
  </si>
  <si>
    <t>MONTH 4 (Sept. 2013)</t>
  </si>
  <si>
    <t>MONTH 5 (Oct. 2013)</t>
  </si>
  <si>
    <t>MONTH 6 (Nov. 2013)</t>
  </si>
  <si>
    <t>As of December 26, 2013</t>
  </si>
  <si>
    <t>FSD, Manager</t>
  </si>
  <si>
    <t>mos.</t>
  </si>
  <si>
    <t>INV0027459</t>
  </si>
  <si>
    <t>Amount (Net of Vat)</t>
  </si>
  <si>
    <t>Final WESM Statement per INV0023183 - 7/12/13 for the billing period May 26, 2013 to June 25, 2013</t>
  </si>
  <si>
    <t>JANUARY, 2014</t>
  </si>
  <si>
    <t>JANUARY 2014</t>
  </si>
  <si>
    <t>Computation of Senior Citizen Discount - JANUARY 2014</t>
  </si>
  <si>
    <t>PARTICULARS</t>
  </si>
  <si>
    <t>February, 2014</t>
  </si>
  <si>
    <t>FEBRUARY, 2014</t>
  </si>
  <si>
    <t>FEBRUARY 2014</t>
  </si>
  <si>
    <t>JAN. 2014 Rate</t>
  </si>
  <si>
    <t>(Dec. 2013 data)</t>
  </si>
  <si>
    <t>Computation of Senior Citizen Discount - FEBRUARY 2014</t>
  </si>
  <si>
    <t>SENIOR CITIZEN LEVEL (kWh Consumption)</t>
  </si>
  <si>
    <t>MARCH 2014</t>
  </si>
  <si>
    <t>Computation of Senior Citizen Discount - MARCH 2014</t>
  </si>
  <si>
    <t>MARCH, 2014</t>
  </si>
  <si>
    <t>Rate per KWH (Baybay)</t>
  </si>
  <si>
    <t xml:space="preserve">      Municipalities of Baybay</t>
  </si>
  <si>
    <t>APRIL, 2014</t>
  </si>
  <si>
    <t>JAN</t>
  </si>
  <si>
    <t>DATA:</t>
  </si>
  <si>
    <t xml:space="preserve">      Retail Customer Charge                    </t>
  </si>
  <si>
    <t>FEED-IN TARIFF ALLOWANCE</t>
  </si>
  <si>
    <t>JULY</t>
  </si>
  <si>
    <t xml:space="preserve">      Renewable Energy  Dev. Cash Incentive</t>
  </si>
  <si>
    <t>PhP/kWh</t>
  </si>
  <si>
    <t>PhP/kW</t>
  </si>
  <si>
    <t xml:space="preserve">      Stranded Debt</t>
  </si>
  <si>
    <t>MERCY ANN M. ALCANTARA, CPA       FLORABEL E. ADAYA, CPA       RHEA JANE A. BERSAMIN, CPA       BRENDA F. AMPOLITOD</t>
  </si>
  <si>
    <t>Prepared by:                                      Reviewed by:</t>
  </si>
  <si>
    <t xml:space="preserve">                 Verified by:</t>
  </si>
  <si>
    <t xml:space="preserve">              Approved by:</t>
  </si>
  <si>
    <t xml:space="preserve">    Finance Specialist                           FSD Manager                       Internal Audit Manager                 General Manager</t>
  </si>
  <si>
    <t>FIXED Distribution CHARGE/ KW Demand</t>
  </si>
  <si>
    <t xml:space="preserve">    GRAM</t>
  </si>
  <si>
    <t xml:space="preserve">    ICERA</t>
  </si>
  <si>
    <t xml:space="preserve">    FxA</t>
  </si>
  <si>
    <t xml:space="preserve">    FPPCA</t>
  </si>
  <si>
    <t>JANUARY 2022</t>
  </si>
  <si>
    <t>FEBRUARY 2022</t>
  </si>
  <si>
    <t>MARCH 2022</t>
  </si>
  <si>
    <t xml:space="preserve">                 </t>
  </si>
  <si>
    <t xml:space="preserve">                    Approved by:</t>
  </si>
  <si>
    <t>FLORABEL E. ADAYA, CPA                            RHEA JANE A. BERSAMIN, CPA                         BRENDA F. AMPOLITOD</t>
  </si>
  <si>
    <t xml:space="preserve">      FSD Manager                                      Internal Audit Manager                                 General Manager</t>
  </si>
  <si>
    <t>APRIL 2022</t>
  </si>
  <si>
    <t>MAY 2022</t>
  </si>
  <si>
    <t>JUNE 2022</t>
  </si>
  <si>
    <t>JULY 2022</t>
  </si>
  <si>
    <t>AUGUST 2022</t>
  </si>
  <si>
    <t>SEPTEMBER 2022</t>
  </si>
  <si>
    <t>OCTOBER 2022</t>
  </si>
  <si>
    <t>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</si>
</sst>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000"/>
    <numFmt numFmtId="166" formatCode="0.00000"/>
    <numFmt numFmtId="167" formatCode="_(* #,##0.0000_);_(* \(#,##0.0000\);_(* &quot;-&quot;????_);_(@_)"/>
    <numFmt numFmtId="168" formatCode="_(* #,##0.000_);_(* \(#,##0.000\);_(* &quot;-&quot;??_);_(@_)"/>
    <numFmt numFmtId="169" formatCode="_(* #,##0.0000_);_(* \(#,##0.0000\);_(* &quot;-&quot;??_);_(@_)"/>
    <numFmt numFmtId="170" formatCode="_(* #,##0_);_(* \(#,##0\);_(* &quot;-&quot;??_);_(@_)"/>
    <numFmt numFmtId="171" formatCode="[$-409]mmm\-yy;@"/>
    <numFmt numFmtId="172" formatCode="[$-409]mmmm\ d\,\ yyyy;@"/>
    <numFmt numFmtId="173" formatCode="_-* #,##0.0000_-;\-* #,##0.0000_-;_-* &quot;-&quot;??_-;_-@_-"/>
    <numFmt numFmtId="174" formatCode="0.000"/>
    <numFmt numFmtId="175" formatCode="0.0"/>
    <numFmt numFmtId="176" formatCode="0.00000000"/>
    <numFmt numFmtId="177" formatCode="0.000000000"/>
  </numFmts>
  <fonts count="6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i/>
      <u/>
      <sz val="9"/>
      <name val="Arial"/>
      <family val="2"/>
    </font>
    <font>
      <b/>
      <u/>
      <sz val="10"/>
      <name val="Arial"/>
      <family val="2"/>
    </font>
    <font>
      <i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i/>
      <sz val="9"/>
      <color indexed="8"/>
      <name val="Times New Roman"/>
      <family val="1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8"/>
      <name val="Arial"/>
      <family val="2"/>
    </font>
    <font>
      <b/>
      <u val="singleAccounting"/>
      <sz val="9"/>
      <color indexed="8"/>
      <name val="Calibri"/>
      <family val="2"/>
    </font>
    <font>
      <b/>
      <i/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name val="Times New Roman"/>
      <family val="1"/>
    </font>
    <font>
      <sz val="10.5"/>
      <color indexed="8"/>
      <name val="Arial"/>
      <family val="2"/>
    </font>
    <font>
      <b/>
      <u/>
      <sz val="10.5"/>
      <color indexed="8"/>
      <name val="Arial"/>
      <family val="2"/>
    </font>
    <font>
      <b/>
      <u val="singleAccounting"/>
      <sz val="10"/>
      <color indexed="8"/>
      <name val="Calibri"/>
      <family val="2"/>
    </font>
    <font>
      <sz val="10"/>
      <color indexed="10"/>
      <name val="Arial"/>
      <family val="2"/>
    </font>
    <font>
      <sz val="10"/>
      <color indexed="9"/>
      <name val="Calibri"/>
      <family val="2"/>
    </font>
    <font>
      <sz val="10"/>
      <color indexed="9"/>
      <name val="Arial"/>
      <family val="2"/>
    </font>
    <font>
      <sz val="8"/>
      <color indexed="9"/>
      <name val="Calibri"/>
      <family val="2"/>
    </font>
    <font>
      <sz val="10.5"/>
      <color indexed="8"/>
      <name val="Arial"/>
      <family val="2"/>
    </font>
    <font>
      <sz val="10"/>
      <name val="Arial"/>
      <family val="2"/>
    </font>
    <font>
      <b/>
      <u val="singleAccounting"/>
      <sz val="8"/>
      <color indexed="8"/>
      <name val="Calibri"/>
      <family val="2"/>
    </font>
    <font>
      <sz val="10"/>
      <color indexed="56"/>
      <name val="Calibri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10"/>
      <color theme="0"/>
      <name val="Arial"/>
      <family val="2"/>
    </font>
    <font>
      <sz val="12"/>
      <name val="Arial Rounded MT Bold"/>
      <family val="2"/>
    </font>
    <font>
      <b/>
      <sz val="12"/>
      <name val="Arial Rounded MT Bold"/>
      <family val="2"/>
    </font>
    <font>
      <b/>
      <sz val="12"/>
      <name val="Arial Black"/>
      <family val="2"/>
    </font>
    <font>
      <sz val="12"/>
      <name val="Arial Black"/>
      <family val="2"/>
    </font>
    <font>
      <sz val="11"/>
      <name val="Arial Black"/>
      <family val="2"/>
    </font>
  </fonts>
  <fills count="22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2FFF8D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8">
    <xf numFmtId="0" fontId="0" fillId="0" borderId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57" fillId="0" borderId="0"/>
    <xf numFmtId="164" fontId="57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129">
    <xf numFmtId="0" fontId="0" fillId="0" borderId="0" xfId="0"/>
    <xf numFmtId="0" fontId="4" fillId="0" borderId="0" xfId="0" applyFont="1"/>
    <xf numFmtId="165" fontId="0" fillId="0" borderId="0" xfId="0" applyNumberFormat="1"/>
    <xf numFmtId="0" fontId="3" fillId="0" borderId="0" xfId="0" applyFont="1"/>
    <xf numFmtId="0" fontId="10" fillId="0" borderId="0" xfId="0" applyFont="1"/>
    <xf numFmtId="0" fontId="0" fillId="0" borderId="7" xfId="0" applyBorder="1"/>
    <xf numFmtId="0" fontId="0" fillId="0" borderId="6" xfId="0" applyBorder="1"/>
    <xf numFmtId="0" fontId="4" fillId="0" borderId="7" xfId="0" applyFont="1" applyBorder="1"/>
    <xf numFmtId="0" fontId="0" fillId="0" borderId="9" xfId="0" applyBorder="1"/>
    <xf numFmtId="0" fontId="0" fillId="0" borderId="10" xfId="0" applyBorder="1"/>
    <xf numFmtId="0" fontId="11" fillId="0" borderId="0" xfId="0" applyFont="1"/>
    <xf numFmtId="0" fontId="10" fillId="0" borderId="0" xfId="0" quotePrefix="1" applyFont="1"/>
    <xf numFmtId="0" fontId="10" fillId="0" borderId="0" xfId="0" applyFont="1" applyAlignment="1">
      <alignment horizontal="center"/>
    </xf>
    <xf numFmtId="43" fontId="10" fillId="0" borderId="0" xfId="1" applyFont="1"/>
    <xf numFmtId="169" fontId="10" fillId="0" borderId="0" xfId="1" applyNumberFormat="1" applyFont="1"/>
    <xf numFmtId="170" fontId="10" fillId="0" borderId="0" xfId="1" applyNumberFormat="1" applyFont="1"/>
    <xf numFmtId="43" fontId="10" fillId="0" borderId="4" xfId="0" applyNumberFormat="1" applyFont="1" applyBorder="1"/>
    <xf numFmtId="0" fontId="7" fillId="0" borderId="0" xfId="0" applyFont="1"/>
    <xf numFmtId="0" fontId="0" fillId="0" borderId="8" xfId="0" applyBorder="1"/>
    <xf numFmtId="4" fontId="3" fillId="7" borderId="0" xfId="0" applyNumberFormat="1" applyFont="1" applyFill="1"/>
    <xf numFmtId="0" fontId="10" fillId="7" borderId="0" xfId="0" quotePrefix="1" applyFont="1" applyFill="1"/>
    <xf numFmtId="0" fontId="14" fillId="7" borderId="0" xfId="0" applyFont="1" applyFill="1"/>
    <xf numFmtId="43" fontId="23" fillId="7" borderId="0" xfId="1" applyFont="1" applyFill="1" applyBorder="1"/>
    <xf numFmtId="165" fontId="3" fillId="0" borderId="0" xfId="0" applyNumberFormat="1" applyFont="1"/>
    <xf numFmtId="9" fontId="3" fillId="7" borderId="0" xfId="0" applyNumberFormat="1" applyFont="1" applyFill="1"/>
    <xf numFmtId="169" fontId="3" fillId="6" borderId="0" xfId="3" applyNumberFormat="1" applyFont="1" applyFill="1" applyBorder="1"/>
    <xf numFmtId="0" fontId="0" fillId="8" borderId="0" xfId="0" applyFill="1"/>
    <xf numFmtId="0" fontId="3" fillId="8" borderId="1" xfId="0" applyFont="1" applyFill="1" applyBorder="1"/>
    <xf numFmtId="0" fontId="0" fillId="8" borderId="1" xfId="0" applyFill="1" applyBorder="1"/>
    <xf numFmtId="0" fontId="4" fillId="8" borderId="1" xfId="0" applyFont="1" applyFill="1" applyBorder="1"/>
    <xf numFmtId="0" fontId="3" fillId="0" borderId="0" xfId="4"/>
    <xf numFmtId="0" fontId="22" fillId="0" borderId="0" xfId="4" applyFont="1"/>
    <xf numFmtId="0" fontId="24" fillId="0" borderId="21" xfId="4" applyFont="1" applyBorder="1" applyAlignment="1">
      <alignment horizontal="center"/>
    </xf>
    <xf numFmtId="0" fontId="24" fillId="0" borderId="22" xfId="4" applyFont="1" applyBorder="1" applyAlignment="1">
      <alignment horizontal="center"/>
    </xf>
    <xf numFmtId="0" fontId="3" fillId="0" borderId="0" xfId="4" applyAlignment="1">
      <alignment horizontal="center"/>
    </xf>
    <xf numFmtId="17" fontId="3" fillId="0" borderId="23" xfId="4" quotePrefix="1" applyNumberFormat="1" applyBorder="1"/>
    <xf numFmtId="170" fontId="0" fillId="0" borderId="17" xfId="3" applyNumberFormat="1" applyFont="1" applyBorder="1"/>
    <xf numFmtId="170" fontId="0" fillId="0" borderId="24" xfId="3" applyNumberFormat="1" applyFont="1" applyBorder="1"/>
    <xf numFmtId="17" fontId="3" fillId="0" borderId="25" xfId="4" quotePrefix="1" applyNumberFormat="1" applyBorder="1"/>
    <xf numFmtId="0" fontId="3" fillId="0" borderId="26" xfId="4" quotePrefix="1" applyBorder="1"/>
    <xf numFmtId="17" fontId="3" fillId="0" borderId="26" xfId="4" quotePrefix="1" applyNumberFormat="1" applyBorder="1"/>
    <xf numFmtId="0" fontId="3" fillId="0" borderId="27" xfId="4" applyBorder="1"/>
    <xf numFmtId="170" fontId="0" fillId="0" borderId="21" xfId="3" applyNumberFormat="1" applyFont="1" applyBorder="1"/>
    <xf numFmtId="0" fontId="24" fillId="0" borderId="0" xfId="4" applyFont="1"/>
    <xf numFmtId="0" fontId="24" fillId="0" borderId="17" xfId="4" applyFont="1" applyBorder="1" applyAlignment="1">
      <alignment horizontal="center" vertical="center" wrapText="1"/>
    </xf>
    <xf numFmtId="0" fontId="24" fillId="0" borderId="28" xfId="4" applyFont="1" applyBorder="1" applyAlignment="1">
      <alignment horizontal="center"/>
    </xf>
    <xf numFmtId="0" fontId="24" fillId="0" borderId="13" xfId="4" applyFont="1" applyBorder="1" applyAlignment="1">
      <alignment horizontal="center"/>
    </xf>
    <xf numFmtId="0" fontId="3" fillId="0" borderId="17" xfId="4" applyBorder="1" applyAlignment="1">
      <alignment horizontal="center" vertical="center" wrapText="1"/>
    </xf>
    <xf numFmtId="0" fontId="25" fillId="12" borderId="21" xfId="4" applyFont="1" applyFill="1" applyBorder="1" applyAlignment="1">
      <alignment horizontal="center"/>
    </xf>
    <xf numFmtId="0" fontId="25" fillId="12" borderId="29" xfId="4" applyFont="1" applyFill="1" applyBorder="1" applyAlignment="1">
      <alignment horizontal="center"/>
    </xf>
    <xf numFmtId="0" fontId="24" fillId="0" borderId="17" xfId="4" quotePrefix="1" applyFont="1" applyBorder="1"/>
    <xf numFmtId="4" fontId="24" fillId="0" borderId="17" xfId="4" applyNumberFormat="1" applyFont="1" applyBorder="1" applyAlignment="1">
      <alignment horizontal="center"/>
    </xf>
    <xf numFmtId="43" fontId="24" fillId="0" borderId="17" xfId="4" applyNumberFormat="1" applyFont="1" applyBorder="1" applyAlignment="1">
      <alignment horizontal="center"/>
    </xf>
    <xf numFmtId="43" fontId="24" fillId="0" borderId="17" xfId="4" applyNumberFormat="1" applyFont="1" applyBorder="1"/>
    <xf numFmtId="170" fontId="24" fillId="0" borderId="17" xfId="3" applyNumberFormat="1" applyFont="1" applyBorder="1"/>
    <xf numFmtId="169" fontId="24" fillId="0" borderId="30" xfId="3" applyNumberFormat="1" applyFont="1" applyBorder="1"/>
    <xf numFmtId="171" fontId="24" fillId="0" borderId="17" xfId="4" applyNumberFormat="1" applyFont="1" applyBorder="1" applyAlignment="1">
      <alignment horizontal="center"/>
    </xf>
    <xf numFmtId="17" fontId="24" fillId="0" borderId="17" xfId="4" quotePrefix="1" applyNumberFormat="1" applyFont="1" applyBorder="1" applyAlignment="1">
      <alignment horizontal="left"/>
    </xf>
    <xf numFmtId="0" fontId="3" fillId="13" borderId="0" xfId="4" applyFill="1"/>
    <xf numFmtId="0" fontId="3" fillId="10" borderId="0" xfId="4" applyFill="1"/>
    <xf numFmtId="0" fontId="3" fillId="0" borderId="1" xfId="4" applyBorder="1"/>
    <xf numFmtId="0" fontId="10" fillId="6" borderId="0" xfId="4" applyFont="1" applyFill="1"/>
    <xf numFmtId="0" fontId="3" fillId="0" borderId="5" xfId="4" applyBorder="1" applyAlignment="1">
      <alignment horizontal="center"/>
    </xf>
    <xf numFmtId="0" fontId="3" fillId="6" borderId="12" xfId="4" applyFill="1" applyBorder="1"/>
    <xf numFmtId="165" fontId="3" fillId="0" borderId="0" xfId="4" applyNumberFormat="1"/>
    <xf numFmtId="0" fontId="10" fillId="2" borderId="0" xfId="4" applyFont="1" applyFill="1"/>
    <xf numFmtId="0" fontId="3" fillId="2" borderId="0" xfId="4" applyFill="1"/>
    <xf numFmtId="0" fontId="10" fillId="5" borderId="0" xfId="4" applyFont="1" applyFill="1"/>
    <xf numFmtId="0" fontId="3" fillId="0" borderId="4" xfId="4" applyBorder="1"/>
    <xf numFmtId="0" fontId="3" fillId="5" borderId="0" xfId="4" applyFill="1"/>
    <xf numFmtId="0" fontId="10" fillId="8" borderId="0" xfId="4" applyFont="1" applyFill="1"/>
    <xf numFmtId="0" fontId="3" fillId="8" borderId="0" xfId="4" applyFill="1"/>
    <xf numFmtId="0" fontId="10" fillId="9" borderId="0" xfId="4" applyFont="1" applyFill="1"/>
    <xf numFmtId="0" fontId="3" fillId="9" borderId="0" xfId="4" applyFill="1"/>
    <xf numFmtId="0" fontId="10" fillId="4" borderId="0" xfId="4" applyFont="1" applyFill="1"/>
    <xf numFmtId="0" fontId="3" fillId="4" borderId="0" xfId="4" applyFill="1"/>
    <xf numFmtId="0" fontId="7" fillId="0" borderId="0" xfId="4" applyFont="1"/>
    <xf numFmtId="0" fontId="8" fillId="0" borderId="0" xfId="4" applyFont="1"/>
    <xf numFmtId="0" fontId="4" fillId="0" borderId="0" xfId="4" applyFont="1"/>
    <xf numFmtId="0" fontId="3" fillId="6" borderId="0" xfId="4" applyFill="1"/>
    <xf numFmtId="169" fontId="0" fillId="0" borderId="0" xfId="3" applyNumberFormat="1" applyFont="1"/>
    <xf numFmtId="0" fontId="4" fillId="6" borderId="0" xfId="4" applyFont="1" applyFill="1"/>
    <xf numFmtId="172" fontId="4" fillId="6" borderId="0" xfId="4" applyNumberFormat="1" applyFont="1" applyFill="1" applyAlignment="1">
      <alignment horizontal="left"/>
    </xf>
    <xf numFmtId="168" fontId="4" fillId="0" borderId="0" xfId="3" applyNumberFormat="1" applyFont="1" applyAlignment="1">
      <alignment horizontal="center"/>
    </xf>
    <xf numFmtId="169" fontId="3" fillId="9" borderId="0" xfId="3" applyNumberFormat="1" applyFont="1" applyFill="1"/>
    <xf numFmtId="169" fontId="3" fillId="2" borderId="0" xfId="3" applyNumberFormat="1" applyFont="1" applyFill="1"/>
    <xf numFmtId="0" fontId="4" fillId="0" borderId="0" xfId="3" applyNumberFormat="1" applyFont="1" applyAlignment="1">
      <alignment horizontal="center"/>
    </xf>
    <xf numFmtId="0" fontId="4" fillId="6" borderId="17" xfId="4" applyFont="1" applyFill="1" applyBorder="1" applyAlignment="1">
      <alignment horizontal="center" vertical="center"/>
    </xf>
    <xf numFmtId="169" fontId="7" fillId="0" borderId="0" xfId="3" applyNumberFormat="1" applyFont="1"/>
    <xf numFmtId="169" fontId="0" fillId="0" borderId="0" xfId="3" applyNumberFormat="1" applyFont="1" applyAlignment="1">
      <alignment horizontal="center"/>
    </xf>
    <xf numFmtId="0" fontId="4" fillId="6" borderId="12" xfId="4" applyFont="1" applyFill="1" applyBorder="1"/>
    <xf numFmtId="0" fontId="3" fillId="6" borderId="4" xfId="4" applyFill="1" applyBorder="1"/>
    <xf numFmtId="0" fontId="3" fillId="6" borderId="5" xfId="4" applyFill="1" applyBorder="1"/>
    <xf numFmtId="0" fontId="0" fillId="0" borderId="0" xfId="3" applyNumberFormat="1" applyFont="1" applyAlignment="1">
      <alignment horizontal="left"/>
    </xf>
    <xf numFmtId="3" fontId="0" fillId="0" borderId="0" xfId="3" applyNumberFormat="1" applyFont="1" applyAlignment="1">
      <alignment horizontal="center"/>
    </xf>
    <xf numFmtId="165" fontId="3" fillId="6" borderId="0" xfId="4" applyNumberFormat="1" applyFill="1"/>
    <xf numFmtId="0" fontId="3" fillId="6" borderId="2" xfId="4" applyFill="1" applyBorder="1"/>
    <xf numFmtId="43" fontId="0" fillId="0" borderId="0" xfId="3" applyFont="1"/>
    <xf numFmtId="165" fontId="3" fillId="6" borderId="2" xfId="4" applyNumberFormat="1" applyFill="1" applyBorder="1"/>
    <xf numFmtId="165" fontId="4" fillId="6" borderId="34" xfId="4" applyNumberFormat="1" applyFont="1" applyFill="1" applyBorder="1"/>
    <xf numFmtId="165" fontId="4" fillId="6" borderId="35" xfId="4" applyNumberFormat="1" applyFont="1" applyFill="1" applyBorder="1"/>
    <xf numFmtId="2" fontId="3" fillId="0" borderId="0" xfId="4" applyNumberFormat="1"/>
    <xf numFmtId="169" fontId="26" fillId="0" borderId="0" xfId="3" applyNumberFormat="1" applyFont="1"/>
    <xf numFmtId="43" fontId="26" fillId="0" borderId="0" xfId="3" applyFont="1"/>
    <xf numFmtId="43" fontId="3" fillId="0" borderId="0" xfId="3" applyFont="1"/>
    <xf numFmtId="170" fontId="3" fillId="0" borderId="0" xfId="3" applyNumberFormat="1" applyFont="1"/>
    <xf numFmtId="169" fontId="3" fillId="14" borderId="0" xfId="3" applyNumberFormat="1" applyFont="1" applyFill="1"/>
    <xf numFmtId="169" fontId="3" fillId="0" borderId="0" xfId="3" applyNumberFormat="1" applyFont="1"/>
    <xf numFmtId="0" fontId="9" fillId="6" borderId="13" xfId="4" applyFont="1" applyFill="1" applyBorder="1"/>
    <xf numFmtId="0" fontId="3" fillId="6" borderId="1" xfId="4" applyFill="1" applyBorder="1"/>
    <xf numFmtId="165" fontId="3" fillId="6" borderId="1" xfId="4" applyNumberFormat="1" applyFill="1" applyBorder="1"/>
    <xf numFmtId="0" fontId="4" fillId="6" borderId="15" xfId="4" applyFont="1" applyFill="1" applyBorder="1"/>
    <xf numFmtId="0" fontId="3" fillId="6" borderId="15" xfId="4" applyFill="1" applyBorder="1"/>
    <xf numFmtId="165" fontId="4" fillId="6" borderId="15" xfId="4" applyNumberFormat="1" applyFont="1" applyFill="1" applyBorder="1"/>
    <xf numFmtId="165" fontId="4" fillId="2" borderId="15" xfId="4" applyNumberFormat="1" applyFont="1" applyFill="1" applyBorder="1"/>
    <xf numFmtId="168" fontId="4" fillId="0" borderId="16" xfId="3" applyNumberFormat="1" applyFont="1" applyBorder="1"/>
    <xf numFmtId="43" fontId="4" fillId="0" borderId="16" xfId="3" applyFont="1" applyBorder="1"/>
    <xf numFmtId="169" fontId="0" fillId="0" borderId="16" xfId="3" applyNumberFormat="1" applyFont="1" applyBorder="1"/>
    <xf numFmtId="43" fontId="0" fillId="0" borderId="16" xfId="3" applyFont="1" applyBorder="1"/>
    <xf numFmtId="2" fontId="4" fillId="6" borderId="15" xfId="4" applyNumberFormat="1" applyFont="1" applyFill="1" applyBorder="1"/>
    <xf numFmtId="165" fontId="3" fillId="0" borderId="0" xfId="4" quotePrefix="1" applyNumberFormat="1"/>
    <xf numFmtId="169" fontId="3" fillId="0" borderId="0" xfId="4" applyNumberFormat="1"/>
    <xf numFmtId="43" fontId="3" fillId="0" borderId="0" xfId="4" applyNumberFormat="1"/>
    <xf numFmtId="0" fontId="3" fillId="6" borderId="36" xfId="4" applyFill="1" applyBorder="1"/>
    <xf numFmtId="0" fontId="4" fillId="6" borderId="30" xfId="4" applyFont="1" applyFill="1" applyBorder="1"/>
    <xf numFmtId="0" fontId="4" fillId="6" borderId="17" xfId="4" applyFont="1" applyFill="1" applyBorder="1"/>
    <xf numFmtId="0" fontId="4" fillId="6" borderId="20" xfId="4" applyFont="1" applyFill="1" applyBorder="1"/>
    <xf numFmtId="169" fontId="4" fillId="6" borderId="15" xfId="3" applyNumberFormat="1" applyFont="1" applyFill="1" applyBorder="1"/>
    <xf numFmtId="9" fontId="4" fillId="6" borderId="15" xfId="6" applyFont="1" applyFill="1" applyBorder="1"/>
    <xf numFmtId="10" fontId="4" fillId="6" borderId="15" xfId="4" applyNumberFormat="1" applyFont="1" applyFill="1" applyBorder="1"/>
    <xf numFmtId="165" fontId="10" fillId="6" borderId="0" xfId="4" applyNumberFormat="1" applyFont="1" applyFill="1"/>
    <xf numFmtId="0" fontId="9" fillId="6" borderId="0" xfId="4" applyFont="1" applyFill="1"/>
    <xf numFmtId="0" fontId="4" fillId="2" borderId="0" xfId="4" applyFont="1" applyFill="1"/>
    <xf numFmtId="172" fontId="4" fillId="2" borderId="0" xfId="4" applyNumberFormat="1" applyFont="1" applyFill="1" applyAlignment="1">
      <alignment horizontal="left"/>
    </xf>
    <xf numFmtId="0" fontId="4" fillId="2" borderId="17" xfId="4" applyFont="1" applyFill="1" applyBorder="1" applyAlignment="1">
      <alignment horizontal="center" vertical="center"/>
    </xf>
    <xf numFmtId="0" fontId="4" fillId="2" borderId="12" xfId="4" applyFont="1" applyFill="1" applyBorder="1"/>
    <xf numFmtId="0" fontId="3" fillId="2" borderId="4" xfId="4" applyFill="1" applyBorder="1"/>
    <xf numFmtId="0" fontId="3" fillId="2" borderId="5" xfId="4" applyFill="1" applyBorder="1"/>
    <xf numFmtId="0" fontId="3" fillId="2" borderId="12" xfId="4" applyFill="1" applyBorder="1"/>
    <xf numFmtId="165" fontId="3" fillId="2" borderId="0" xfId="4" applyNumberFormat="1" applyFill="1"/>
    <xf numFmtId="0" fontId="3" fillId="2" borderId="2" xfId="4" applyFill="1" applyBorder="1"/>
    <xf numFmtId="165" fontId="3" fillId="2" borderId="2" xfId="4" applyNumberFormat="1" applyFill="1" applyBorder="1"/>
    <xf numFmtId="165" fontId="4" fillId="2" borderId="34" xfId="4" applyNumberFormat="1" applyFont="1" applyFill="1" applyBorder="1"/>
    <xf numFmtId="165" fontId="4" fillId="2" borderId="35" xfId="4" applyNumberFormat="1" applyFont="1" applyFill="1" applyBorder="1"/>
    <xf numFmtId="169" fontId="3" fillId="2" borderId="0" xfId="3" applyNumberFormat="1" applyFont="1" applyFill="1" applyBorder="1"/>
    <xf numFmtId="0" fontId="9" fillId="2" borderId="13" xfId="4" applyFont="1" applyFill="1" applyBorder="1"/>
    <xf numFmtId="0" fontId="3" fillId="2" borderId="1" xfId="4" applyFill="1" applyBorder="1"/>
    <xf numFmtId="165" fontId="3" fillId="2" borderId="1" xfId="4" applyNumberFormat="1" applyFill="1" applyBorder="1"/>
    <xf numFmtId="0" fontId="4" fillId="2" borderId="15" xfId="4" applyFont="1" applyFill="1" applyBorder="1"/>
    <xf numFmtId="0" fontId="3" fillId="2" borderId="15" xfId="4" applyFill="1" applyBorder="1"/>
    <xf numFmtId="2" fontId="4" fillId="2" borderId="15" xfId="4" applyNumberFormat="1" applyFont="1" applyFill="1" applyBorder="1"/>
    <xf numFmtId="0" fontId="3" fillId="2" borderId="36" xfId="4" applyFill="1" applyBorder="1"/>
    <xf numFmtId="0" fontId="4" fillId="2" borderId="30" xfId="4" applyFont="1" applyFill="1" applyBorder="1"/>
    <xf numFmtId="0" fontId="4" fillId="2" borderId="17" xfId="4" applyFont="1" applyFill="1" applyBorder="1"/>
    <xf numFmtId="0" fontId="4" fillId="2" borderId="20" xfId="4" applyFont="1" applyFill="1" applyBorder="1"/>
    <xf numFmtId="169" fontId="4" fillId="2" borderId="15" xfId="3" applyNumberFormat="1" applyFont="1" applyFill="1" applyBorder="1"/>
    <xf numFmtId="9" fontId="4" fillId="2" borderId="15" xfId="6" applyFont="1" applyFill="1" applyBorder="1"/>
    <xf numFmtId="10" fontId="4" fillId="2" borderId="15" xfId="4" applyNumberFormat="1" applyFont="1" applyFill="1" applyBorder="1"/>
    <xf numFmtId="165" fontId="10" fillId="2" borderId="0" xfId="4" applyNumberFormat="1" applyFont="1" applyFill="1"/>
    <xf numFmtId="0" fontId="9" fillId="2" borderId="0" xfId="4" applyFont="1" applyFill="1"/>
    <xf numFmtId="0" fontId="4" fillId="5" borderId="0" xfId="4" applyFont="1" applyFill="1"/>
    <xf numFmtId="172" fontId="4" fillId="5" borderId="0" xfId="4" applyNumberFormat="1" applyFont="1" applyFill="1" applyAlignment="1">
      <alignment horizontal="left"/>
    </xf>
    <xf numFmtId="0" fontId="4" fillId="5" borderId="17" xfId="4" applyFont="1" applyFill="1" applyBorder="1" applyAlignment="1">
      <alignment horizontal="center" vertical="center"/>
    </xf>
    <xf numFmtId="0" fontId="4" fillId="5" borderId="12" xfId="4" applyFont="1" applyFill="1" applyBorder="1"/>
    <xf numFmtId="0" fontId="3" fillId="5" borderId="4" xfId="4" applyFill="1" applyBorder="1"/>
    <xf numFmtId="0" fontId="3" fillId="5" borderId="5" xfId="4" applyFill="1" applyBorder="1"/>
    <xf numFmtId="0" fontId="3" fillId="5" borderId="12" xfId="4" applyFill="1" applyBorder="1"/>
    <xf numFmtId="165" fontId="3" fillId="5" borderId="0" xfId="4" applyNumberFormat="1" applyFill="1"/>
    <xf numFmtId="0" fontId="3" fillId="5" borderId="2" xfId="4" applyFill="1" applyBorder="1"/>
    <xf numFmtId="165" fontId="3" fillId="5" borderId="2" xfId="4" applyNumberFormat="1" applyFill="1" applyBorder="1"/>
    <xf numFmtId="165" fontId="4" fillId="5" borderId="34" xfId="4" applyNumberFormat="1" applyFont="1" applyFill="1" applyBorder="1"/>
    <xf numFmtId="165" fontId="4" fillId="5" borderId="35" xfId="4" applyNumberFormat="1" applyFont="1" applyFill="1" applyBorder="1"/>
    <xf numFmtId="169" fontId="3" fillId="5" borderId="0" xfId="3" applyNumberFormat="1" applyFont="1" applyFill="1" applyBorder="1"/>
    <xf numFmtId="0" fontId="9" fillId="5" borderId="13" xfId="4" applyFont="1" applyFill="1" applyBorder="1"/>
    <xf numFmtId="0" fontId="3" fillId="5" borderId="1" xfId="4" applyFill="1" applyBorder="1"/>
    <xf numFmtId="165" fontId="3" fillId="5" borderId="1" xfId="4" applyNumberFormat="1" applyFill="1" applyBorder="1"/>
    <xf numFmtId="0" fontId="4" fillId="5" borderId="15" xfId="4" applyFont="1" applyFill="1" applyBorder="1"/>
    <xf numFmtId="0" fontId="3" fillId="5" borderId="15" xfId="4" applyFill="1" applyBorder="1"/>
    <xf numFmtId="165" fontId="4" fillId="5" borderId="15" xfId="4" applyNumberFormat="1" applyFont="1" applyFill="1" applyBorder="1"/>
    <xf numFmtId="165" fontId="27" fillId="5" borderId="15" xfId="4" applyNumberFormat="1" applyFont="1" applyFill="1" applyBorder="1"/>
    <xf numFmtId="2" fontId="4" fillId="5" borderId="15" xfId="4" applyNumberFormat="1" applyFont="1" applyFill="1" applyBorder="1"/>
    <xf numFmtId="0" fontId="3" fillId="5" borderId="36" xfId="4" applyFill="1" applyBorder="1"/>
    <xf numFmtId="0" fontId="4" fillId="5" borderId="30" xfId="4" applyFont="1" applyFill="1" applyBorder="1"/>
    <xf numFmtId="0" fontId="4" fillId="5" borderId="17" xfId="4" applyFont="1" applyFill="1" applyBorder="1"/>
    <xf numFmtId="0" fontId="4" fillId="5" borderId="20" xfId="4" applyFont="1" applyFill="1" applyBorder="1"/>
    <xf numFmtId="169" fontId="4" fillId="5" borderId="15" xfId="3" applyNumberFormat="1" applyFont="1" applyFill="1" applyBorder="1"/>
    <xf numFmtId="9" fontId="4" fillId="5" borderId="15" xfId="6" applyFont="1" applyFill="1" applyBorder="1"/>
    <xf numFmtId="10" fontId="4" fillId="5" borderId="15" xfId="4" applyNumberFormat="1" applyFont="1" applyFill="1" applyBorder="1"/>
    <xf numFmtId="165" fontId="10" fillId="5" borderId="0" xfId="4" applyNumberFormat="1" applyFont="1" applyFill="1"/>
    <xf numFmtId="0" fontId="9" fillId="5" borderId="0" xfId="4" applyFont="1" applyFill="1"/>
    <xf numFmtId="0" fontId="4" fillId="8" borderId="0" xfId="4" applyFont="1" applyFill="1"/>
    <xf numFmtId="172" fontId="4" fillId="8" borderId="0" xfId="4" applyNumberFormat="1" applyFont="1" applyFill="1" applyAlignment="1">
      <alignment horizontal="left"/>
    </xf>
    <xf numFmtId="169" fontId="3" fillId="8" borderId="0" xfId="3" applyNumberFormat="1" applyFont="1" applyFill="1"/>
    <xf numFmtId="0" fontId="4" fillId="8" borderId="17" xfId="4" applyFont="1" applyFill="1" applyBorder="1" applyAlignment="1">
      <alignment horizontal="center" vertical="center"/>
    </xf>
    <xf numFmtId="0" fontId="4" fillId="8" borderId="12" xfId="4" applyFont="1" applyFill="1" applyBorder="1"/>
    <xf numFmtId="0" fontId="3" fillId="8" borderId="4" xfId="4" applyFill="1" applyBorder="1"/>
    <xf numFmtId="0" fontId="3" fillId="8" borderId="5" xfId="4" applyFill="1" applyBorder="1"/>
    <xf numFmtId="0" fontId="3" fillId="8" borderId="12" xfId="4" applyFill="1" applyBorder="1"/>
    <xf numFmtId="165" fontId="3" fillId="8" borderId="0" xfId="4" applyNumberFormat="1" applyFill="1"/>
    <xf numFmtId="0" fontId="3" fillId="8" borderId="2" xfId="4" applyFill="1" applyBorder="1"/>
    <xf numFmtId="165" fontId="3" fillId="8" borderId="2" xfId="4" applyNumberFormat="1" applyFill="1" applyBorder="1"/>
    <xf numFmtId="165" fontId="4" fillId="8" borderId="34" xfId="4" applyNumberFormat="1" applyFont="1" applyFill="1" applyBorder="1"/>
    <xf numFmtId="165" fontId="4" fillId="8" borderId="35" xfId="4" applyNumberFormat="1" applyFont="1" applyFill="1" applyBorder="1"/>
    <xf numFmtId="169" fontId="3" fillId="8" borderId="0" xfId="3" applyNumberFormat="1" applyFont="1" applyFill="1" applyBorder="1"/>
    <xf numFmtId="0" fontId="9" fillId="8" borderId="13" xfId="4" applyFont="1" applyFill="1" applyBorder="1"/>
    <xf numFmtId="0" fontId="3" fillId="8" borderId="1" xfId="4" applyFill="1" applyBorder="1"/>
    <xf numFmtId="165" fontId="3" fillId="8" borderId="1" xfId="4" applyNumberFormat="1" applyFill="1" applyBorder="1"/>
    <xf numFmtId="0" fontId="4" fillId="8" borderId="15" xfId="4" applyFont="1" applyFill="1" applyBorder="1"/>
    <xf numFmtId="0" fontId="3" fillId="8" borderId="15" xfId="4" applyFill="1" applyBorder="1"/>
    <xf numFmtId="165" fontId="4" fillId="8" borderId="15" xfId="4" applyNumberFormat="1" applyFont="1" applyFill="1" applyBorder="1"/>
    <xf numFmtId="165" fontId="27" fillId="8" borderId="15" xfId="4" applyNumberFormat="1" applyFont="1" applyFill="1" applyBorder="1"/>
    <xf numFmtId="2" fontId="4" fillId="8" borderId="15" xfId="4" applyNumberFormat="1" applyFont="1" applyFill="1" applyBorder="1"/>
    <xf numFmtId="0" fontId="3" fillId="8" borderId="36" xfId="4" applyFill="1" applyBorder="1"/>
    <xf numFmtId="0" fontId="4" fillId="8" borderId="30" xfId="4" applyFont="1" applyFill="1" applyBorder="1"/>
    <xf numFmtId="0" fontId="4" fillId="8" borderId="17" xfId="4" applyFont="1" applyFill="1" applyBorder="1"/>
    <xf numFmtId="0" fontId="4" fillId="8" borderId="20" xfId="4" applyFont="1" applyFill="1" applyBorder="1"/>
    <xf numFmtId="169" fontId="4" fillId="8" borderId="15" xfId="3" applyNumberFormat="1" applyFont="1" applyFill="1" applyBorder="1"/>
    <xf numFmtId="9" fontId="4" fillId="8" borderId="15" xfId="6" applyFont="1" applyFill="1" applyBorder="1"/>
    <xf numFmtId="10" fontId="4" fillId="8" borderId="15" xfId="4" applyNumberFormat="1" applyFont="1" applyFill="1" applyBorder="1"/>
    <xf numFmtId="165" fontId="10" fillId="8" borderId="0" xfId="4" applyNumberFormat="1" applyFont="1" applyFill="1"/>
    <xf numFmtId="0" fontId="9" fillId="8" borderId="0" xfId="4" applyFont="1" applyFill="1"/>
    <xf numFmtId="0" fontId="4" fillId="9" borderId="0" xfId="4" applyFont="1" applyFill="1"/>
    <xf numFmtId="172" fontId="4" fillId="9" borderId="0" xfId="4" applyNumberFormat="1" applyFont="1" applyFill="1" applyAlignment="1">
      <alignment horizontal="left"/>
    </xf>
    <xf numFmtId="0" fontId="4" fillId="9" borderId="17" xfId="4" applyFont="1" applyFill="1" applyBorder="1" applyAlignment="1">
      <alignment horizontal="center" vertical="center"/>
    </xf>
    <xf numFmtId="0" fontId="4" fillId="9" borderId="20" xfId="4" applyFont="1" applyFill="1" applyBorder="1" applyAlignment="1">
      <alignment horizontal="center" vertical="center"/>
    </xf>
    <xf numFmtId="0" fontId="4" fillId="9" borderId="12" xfId="4" applyFont="1" applyFill="1" applyBorder="1"/>
    <xf numFmtId="0" fontId="3" fillId="9" borderId="4" xfId="4" applyFill="1" applyBorder="1"/>
    <xf numFmtId="0" fontId="3" fillId="9" borderId="5" xfId="4" applyFill="1" applyBorder="1"/>
    <xf numFmtId="0" fontId="3" fillId="9" borderId="12" xfId="4" applyFill="1" applyBorder="1"/>
    <xf numFmtId="165" fontId="3" fillId="9" borderId="0" xfId="4" applyNumberFormat="1" applyFill="1"/>
    <xf numFmtId="0" fontId="3" fillId="9" borderId="2" xfId="4" applyFill="1" applyBorder="1"/>
    <xf numFmtId="165" fontId="3" fillId="9" borderId="2" xfId="4" applyNumberFormat="1" applyFill="1" applyBorder="1"/>
    <xf numFmtId="165" fontId="4" fillId="9" borderId="34" xfId="4" applyNumberFormat="1" applyFont="1" applyFill="1" applyBorder="1"/>
    <xf numFmtId="165" fontId="4" fillId="9" borderId="35" xfId="4" applyNumberFormat="1" applyFont="1" applyFill="1" applyBorder="1"/>
    <xf numFmtId="169" fontId="3" fillId="9" borderId="0" xfId="3" applyNumberFormat="1" applyFont="1" applyFill="1" applyBorder="1"/>
    <xf numFmtId="0" fontId="10" fillId="9" borderId="2" xfId="4" applyFont="1" applyFill="1" applyBorder="1"/>
    <xf numFmtId="0" fontId="9" fillId="9" borderId="13" xfId="4" applyFont="1" applyFill="1" applyBorder="1"/>
    <xf numFmtId="0" fontId="3" fillId="9" borderId="1" xfId="4" applyFill="1" applyBorder="1"/>
    <xf numFmtId="165" fontId="3" fillId="9" borderId="1" xfId="4" applyNumberFormat="1" applyFill="1" applyBorder="1"/>
    <xf numFmtId="169" fontId="3" fillId="9" borderId="1" xfId="3" applyNumberFormat="1" applyFont="1" applyFill="1" applyBorder="1"/>
    <xf numFmtId="165" fontId="3" fillId="9" borderId="14" xfId="4" applyNumberFormat="1" applyFill="1" applyBorder="1"/>
    <xf numFmtId="0" fontId="4" fillId="9" borderId="15" xfId="4" applyFont="1" applyFill="1" applyBorder="1"/>
    <xf numFmtId="0" fontId="3" fillId="9" borderId="15" xfId="4" applyFill="1" applyBorder="1"/>
    <xf numFmtId="165" fontId="4" fillId="9" borderId="15" xfId="4" applyNumberFormat="1" applyFont="1" applyFill="1" applyBorder="1"/>
    <xf numFmtId="165" fontId="27" fillId="9" borderId="15" xfId="4" applyNumberFormat="1" applyFont="1" applyFill="1" applyBorder="1"/>
    <xf numFmtId="2" fontId="4" fillId="9" borderId="15" xfId="4" applyNumberFormat="1" applyFont="1" applyFill="1" applyBorder="1"/>
    <xf numFmtId="0" fontId="3" fillId="9" borderId="36" xfId="4" applyFill="1" applyBorder="1"/>
    <xf numFmtId="0" fontId="4" fillId="9" borderId="30" xfId="4" applyFont="1" applyFill="1" applyBorder="1"/>
    <xf numFmtId="0" fontId="4" fillId="9" borderId="17" xfId="4" applyFont="1" applyFill="1" applyBorder="1"/>
    <xf numFmtId="0" fontId="4" fillId="9" borderId="20" xfId="4" applyFont="1" applyFill="1" applyBorder="1"/>
    <xf numFmtId="169" fontId="4" fillId="9" borderId="15" xfId="3" applyNumberFormat="1" applyFont="1" applyFill="1" applyBorder="1"/>
    <xf numFmtId="9" fontId="4" fillId="9" borderId="15" xfId="6" applyFont="1" applyFill="1" applyBorder="1"/>
    <xf numFmtId="10" fontId="4" fillId="9" borderId="15" xfId="4" applyNumberFormat="1" applyFont="1" applyFill="1" applyBorder="1"/>
    <xf numFmtId="165" fontId="10" fillId="9" borderId="0" xfId="4" applyNumberFormat="1" applyFont="1" applyFill="1"/>
    <xf numFmtId="0" fontId="9" fillId="9" borderId="0" xfId="4" applyFont="1" applyFill="1"/>
    <xf numFmtId="0" fontId="4" fillId="4" borderId="0" xfId="4" applyFont="1" applyFill="1"/>
    <xf numFmtId="172" fontId="4" fillId="4" borderId="0" xfId="4" applyNumberFormat="1" applyFont="1" applyFill="1" applyAlignment="1">
      <alignment horizontal="left"/>
    </xf>
    <xf numFmtId="169" fontId="3" fillId="4" borderId="0" xfId="3" applyNumberFormat="1" applyFont="1" applyFill="1"/>
    <xf numFmtId="0" fontId="4" fillId="4" borderId="17" xfId="4" applyFont="1" applyFill="1" applyBorder="1" applyAlignment="1">
      <alignment horizontal="center" vertical="center"/>
    </xf>
    <xf numFmtId="0" fontId="4" fillId="4" borderId="20" xfId="4" applyFont="1" applyFill="1" applyBorder="1" applyAlignment="1">
      <alignment horizontal="center" vertical="center"/>
    </xf>
    <xf numFmtId="169" fontId="7" fillId="4" borderId="0" xfId="3" applyNumberFormat="1" applyFont="1" applyFill="1"/>
    <xf numFmtId="0" fontId="4" fillId="4" borderId="12" xfId="4" applyFont="1" applyFill="1" applyBorder="1"/>
    <xf numFmtId="0" fontId="3" fillId="4" borderId="4" xfId="4" applyFill="1" applyBorder="1"/>
    <xf numFmtId="0" fontId="3" fillId="4" borderId="5" xfId="4" applyFill="1" applyBorder="1"/>
    <xf numFmtId="0" fontId="3" fillId="4" borderId="12" xfId="4" applyFill="1" applyBorder="1"/>
    <xf numFmtId="165" fontId="3" fillId="4" borderId="0" xfId="4" applyNumberFormat="1" applyFill="1"/>
    <xf numFmtId="0" fontId="3" fillId="4" borderId="2" xfId="4" applyFill="1" applyBorder="1"/>
    <xf numFmtId="165" fontId="3" fillId="4" borderId="2" xfId="4" applyNumberFormat="1" applyFill="1" applyBorder="1"/>
    <xf numFmtId="165" fontId="4" fillId="4" borderId="34" xfId="4" applyNumberFormat="1" applyFont="1" applyFill="1" applyBorder="1"/>
    <xf numFmtId="165" fontId="4" fillId="4" borderId="35" xfId="4" applyNumberFormat="1" applyFont="1" applyFill="1" applyBorder="1"/>
    <xf numFmtId="169" fontId="3" fillId="4" borderId="0" xfId="3" applyNumberFormat="1" applyFont="1" applyFill="1" applyBorder="1"/>
    <xf numFmtId="0" fontId="10" fillId="4" borderId="2" xfId="4" applyFont="1" applyFill="1" applyBorder="1"/>
    <xf numFmtId="0" fontId="9" fillId="4" borderId="13" xfId="4" applyFont="1" applyFill="1" applyBorder="1"/>
    <xf numFmtId="0" fontId="3" fillId="4" borderId="1" xfId="4" applyFill="1" applyBorder="1"/>
    <xf numFmtId="165" fontId="3" fillId="4" borderId="1" xfId="4" applyNumberFormat="1" applyFill="1" applyBorder="1"/>
    <xf numFmtId="169" fontId="3" fillId="4" borderId="1" xfId="3" applyNumberFormat="1" applyFont="1" applyFill="1" applyBorder="1"/>
    <xf numFmtId="165" fontId="3" fillId="4" borderId="14" xfId="4" applyNumberFormat="1" applyFill="1" applyBorder="1"/>
    <xf numFmtId="0" fontId="4" fillId="4" borderId="15" xfId="4" applyFont="1" applyFill="1" applyBorder="1"/>
    <xf numFmtId="0" fontId="3" fillId="4" borderId="15" xfId="4" applyFill="1" applyBorder="1"/>
    <xf numFmtId="165" fontId="4" fillId="4" borderId="15" xfId="4" applyNumberFormat="1" applyFont="1" applyFill="1" applyBorder="1"/>
    <xf numFmtId="165" fontId="27" fillId="4" borderId="15" xfId="4" applyNumberFormat="1" applyFont="1" applyFill="1" applyBorder="1"/>
    <xf numFmtId="2" fontId="4" fillId="4" borderId="15" xfId="4" applyNumberFormat="1" applyFont="1" applyFill="1" applyBorder="1"/>
    <xf numFmtId="0" fontId="3" fillId="4" borderId="36" xfId="4" applyFill="1" applyBorder="1"/>
    <xf numFmtId="0" fontId="4" fillId="4" borderId="30" xfId="4" applyFont="1" applyFill="1" applyBorder="1"/>
    <xf numFmtId="0" fontId="4" fillId="4" borderId="17" xfId="4" applyFont="1" applyFill="1" applyBorder="1"/>
    <xf numFmtId="0" fontId="4" fillId="4" borderId="20" xfId="4" applyFont="1" applyFill="1" applyBorder="1"/>
    <xf numFmtId="169" fontId="4" fillId="4" borderId="15" xfId="3" applyNumberFormat="1" applyFont="1" applyFill="1" applyBorder="1"/>
    <xf numFmtId="9" fontId="4" fillId="4" borderId="15" xfId="6" applyFont="1" applyFill="1" applyBorder="1"/>
    <xf numFmtId="10" fontId="4" fillId="4" borderId="15" xfId="4" applyNumberFormat="1" applyFont="1" applyFill="1" applyBorder="1"/>
    <xf numFmtId="165" fontId="10" fillId="4" borderId="0" xfId="4" applyNumberFormat="1" applyFont="1" applyFill="1"/>
    <xf numFmtId="167" fontId="3" fillId="4" borderId="0" xfId="4" applyNumberFormat="1" applyFill="1"/>
    <xf numFmtId="0" fontId="9" fillId="4" borderId="0" xfId="4" applyFont="1" applyFill="1"/>
    <xf numFmtId="170" fontId="0" fillId="0" borderId="20" xfId="3" applyNumberFormat="1" applyFont="1" applyBorder="1" applyAlignment="1">
      <alignment horizontal="center"/>
    </xf>
    <xf numFmtId="0" fontId="3" fillId="0" borderId="37" xfId="4" applyBorder="1" applyAlignment="1">
      <alignment horizontal="center"/>
    </xf>
    <xf numFmtId="0" fontId="20" fillId="0" borderId="0" xfId="4" applyFont="1"/>
    <xf numFmtId="0" fontId="28" fillId="0" borderId="0" xfId="4" applyFont="1"/>
    <xf numFmtId="0" fontId="29" fillId="0" borderId="0" xfId="4" applyFont="1"/>
    <xf numFmtId="0" fontId="30" fillId="0" borderId="0" xfId="4" applyFont="1"/>
    <xf numFmtId="0" fontId="31" fillId="0" borderId="0" xfId="4" applyFont="1"/>
    <xf numFmtId="0" fontId="31" fillId="0" borderId="17" xfId="4" applyFont="1" applyBorder="1" applyAlignment="1">
      <alignment horizontal="center"/>
    </xf>
    <xf numFmtId="0" fontId="31" fillId="0" borderId="19" xfId="4" applyFont="1" applyBorder="1"/>
    <xf numFmtId="0" fontId="31" fillId="0" borderId="4" xfId="4" applyFont="1" applyBorder="1"/>
    <xf numFmtId="0" fontId="31" fillId="0" borderId="12" xfId="4" applyFont="1" applyBorder="1"/>
    <xf numFmtId="0" fontId="31" fillId="0" borderId="33" xfId="4" applyFont="1" applyBorder="1"/>
    <xf numFmtId="0" fontId="29" fillId="0" borderId="17" xfId="4" applyFont="1" applyBorder="1" applyAlignment="1">
      <alignment horizontal="center"/>
    </xf>
    <xf numFmtId="0" fontId="3" fillId="0" borderId="17" xfId="4" applyBorder="1"/>
    <xf numFmtId="0" fontId="24" fillId="0" borderId="17" xfId="4" applyFont="1" applyBorder="1" applyAlignment="1">
      <alignment horizontal="center" vertical="center"/>
    </xf>
    <xf numFmtId="0" fontId="32" fillId="0" borderId="17" xfId="4" applyFont="1" applyBorder="1" applyAlignment="1">
      <alignment horizontal="center" vertical="center" wrapText="1"/>
    </xf>
    <xf numFmtId="9" fontId="29" fillId="0" borderId="17" xfId="5" applyFont="1" applyBorder="1" applyAlignment="1">
      <alignment horizontal="center"/>
    </xf>
    <xf numFmtId="43" fontId="29" fillId="0" borderId="17" xfId="1" applyFont="1" applyFill="1" applyBorder="1"/>
    <xf numFmtId="9" fontId="3" fillId="0" borderId="17" xfId="5" quotePrefix="1" applyFont="1" applyBorder="1"/>
    <xf numFmtId="0" fontId="3" fillId="0" borderId="16" xfId="4" applyBorder="1"/>
    <xf numFmtId="43" fontId="4" fillId="0" borderId="20" xfId="4" applyNumberFormat="1" applyFont="1" applyBorder="1"/>
    <xf numFmtId="0" fontId="3" fillId="0" borderId="18" xfId="4" applyBorder="1"/>
    <xf numFmtId="0" fontId="3" fillId="0" borderId="38" xfId="4" applyBorder="1"/>
    <xf numFmtId="0" fontId="3" fillId="0" borderId="11" xfId="4" applyBorder="1"/>
    <xf numFmtId="0" fontId="3" fillId="0" borderId="7" xfId="4" applyBorder="1"/>
    <xf numFmtId="0" fontId="3" fillId="0" borderId="6" xfId="4" applyBorder="1"/>
    <xf numFmtId="0" fontId="4" fillId="0" borderId="7" xfId="4" applyFont="1" applyBorder="1"/>
    <xf numFmtId="172" fontId="4" fillId="0" borderId="7" xfId="4" applyNumberFormat="1" applyFont="1" applyBorder="1" applyAlignment="1">
      <alignment horizontal="left"/>
    </xf>
    <xf numFmtId="0" fontId="4" fillId="0" borderId="17" xfId="4" applyFont="1" applyBorder="1" applyAlignment="1">
      <alignment horizontal="center" vertical="center"/>
    </xf>
    <xf numFmtId="0" fontId="3" fillId="0" borderId="39" xfId="4" applyBorder="1"/>
    <xf numFmtId="165" fontId="3" fillId="0" borderId="6" xfId="4" applyNumberFormat="1" applyBorder="1"/>
    <xf numFmtId="169" fontId="3" fillId="0" borderId="0" xfId="3" applyNumberFormat="1" applyFont="1" applyFill="1" applyBorder="1"/>
    <xf numFmtId="0" fontId="10" fillId="0" borderId="6" xfId="4" applyFont="1" applyBorder="1"/>
    <xf numFmtId="0" fontId="11" fillId="0" borderId="7" xfId="4" applyFont="1" applyBorder="1"/>
    <xf numFmtId="9" fontId="3" fillId="0" borderId="0" xfId="5" applyFont="1" applyFill="1" applyBorder="1"/>
    <xf numFmtId="0" fontId="9" fillId="0" borderId="40" xfId="4" applyFont="1" applyBorder="1"/>
    <xf numFmtId="165" fontId="3" fillId="0" borderId="1" xfId="4" applyNumberFormat="1" applyBorder="1"/>
    <xf numFmtId="169" fontId="3" fillId="0" borderId="1" xfId="3" applyNumberFormat="1" applyFont="1" applyFill="1" applyBorder="1"/>
    <xf numFmtId="165" fontId="3" fillId="0" borderId="41" xfId="4" applyNumberFormat="1" applyBorder="1"/>
    <xf numFmtId="0" fontId="4" fillId="0" borderId="42" xfId="4" applyFont="1" applyBorder="1"/>
    <xf numFmtId="0" fontId="3" fillId="0" borderId="15" xfId="4" applyBorder="1"/>
    <xf numFmtId="165" fontId="4" fillId="0" borderId="15" xfId="4" applyNumberFormat="1" applyFont="1" applyBorder="1"/>
    <xf numFmtId="165" fontId="27" fillId="0" borderId="15" xfId="4" applyNumberFormat="1" applyFont="1" applyBorder="1"/>
    <xf numFmtId="165" fontId="4" fillId="0" borderId="43" xfId="4" applyNumberFormat="1" applyFont="1" applyBorder="1"/>
    <xf numFmtId="2" fontId="4" fillId="0" borderId="15" xfId="4" applyNumberFormat="1" applyFont="1" applyBorder="1"/>
    <xf numFmtId="0" fontId="3" fillId="0" borderId="36" xfId="4" applyBorder="1"/>
    <xf numFmtId="0" fontId="10" fillId="0" borderId="7" xfId="4" applyFont="1" applyBorder="1"/>
    <xf numFmtId="0" fontId="10" fillId="0" borderId="0" xfId="4" applyFont="1"/>
    <xf numFmtId="165" fontId="10" fillId="0" borderId="0" xfId="4" applyNumberFormat="1" applyFont="1"/>
    <xf numFmtId="0" fontId="9" fillId="0" borderId="7" xfId="4" applyFont="1" applyBorder="1"/>
    <xf numFmtId="0" fontId="9" fillId="0" borderId="0" xfId="4" applyFont="1"/>
    <xf numFmtId="0" fontId="10" fillId="0" borderId="8" xfId="4" applyFont="1" applyBorder="1"/>
    <xf numFmtId="0" fontId="10" fillId="0" borderId="9" xfId="4" applyFont="1" applyBorder="1"/>
    <xf numFmtId="0" fontId="3" fillId="0" borderId="9" xfId="4" applyBorder="1"/>
    <xf numFmtId="0" fontId="3" fillId="0" borderId="10" xfId="4" applyBorder="1"/>
    <xf numFmtId="4" fontId="3" fillId="0" borderId="0" xfId="0" applyNumberFormat="1" applyFont="1"/>
    <xf numFmtId="43" fontId="3" fillId="0" borderId="0" xfId="1" applyFont="1" applyFill="1" applyBorder="1"/>
    <xf numFmtId="0" fontId="16" fillId="0" borderId="0" xfId="0" applyFont="1"/>
    <xf numFmtId="165" fontId="31" fillId="0" borderId="12" xfId="4" applyNumberFormat="1" applyFont="1" applyBorder="1"/>
    <xf numFmtId="3" fontId="0" fillId="0" borderId="30" xfId="3" applyNumberFormat="1" applyFont="1" applyBorder="1" applyAlignment="1"/>
    <xf numFmtId="3" fontId="0" fillId="0" borderId="16" xfId="3" applyNumberFormat="1" applyFont="1" applyBorder="1" applyAlignment="1"/>
    <xf numFmtId="3" fontId="0" fillId="0" borderId="20" xfId="3" applyNumberFormat="1" applyFont="1" applyBorder="1" applyAlignment="1"/>
    <xf numFmtId="0" fontId="24" fillId="0" borderId="46" xfId="4" applyFont="1" applyBorder="1" applyAlignment="1">
      <alignment horizontal="center"/>
    </xf>
    <xf numFmtId="170" fontId="0" fillId="0" borderId="0" xfId="3" applyNumberFormat="1" applyFont="1" applyBorder="1"/>
    <xf numFmtId="0" fontId="29" fillId="0" borderId="21" xfId="4" applyFont="1" applyBorder="1" applyAlignment="1">
      <alignment horizontal="center"/>
    </xf>
    <xf numFmtId="0" fontId="29" fillId="0" borderId="22" xfId="4" applyFont="1" applyBorder="1" applyAlignment="1">
      <alignment horizontal="center"/>
    </xf>
    <xf numFmtId="17" fontId="29" fillId="0" borderId="23" xfId="4" quotePrefix="1" applyNumberFormat="1" applyFont="1" applyBorder="1"/>
    <xf numFmtId="170" fontId="29" fillId="0" borderId="17" xfId="3" applyNumberFormat="1" applyFont="1" applyBorder="1"/>
    <xf numFmtId="170" fontId="29" fillId="0" borderId="24" xfId="3" applyNumberFormat="1" applyFont="1" applyBorder="1"/>
    <xf numFmtId="17" fontId="29" fillId="0" borderId="25" xfId="4" quotePrefix="1" applyNumberFormat="1" applyFont="1" applyBorder="1"/>
    <xf numFmtId="0" fontId="29" fillId="0" borderId="26" xfId="4" quotePrefix="1" applyFont="1" applyBorder="1"/>
    <xf numFmtId="17" fontId="29" fillId="0" borderId="26" xfId="4" quotePrefix="1" applyNumberFormat="1" applyFont="1" applyBorder="1"/>
    <xf numFmtId="170" fontId="29" fillId="0" borderId="20" xfId="3" applyNumberFormat="1" applyFont="1" applyBorder="1" applyAlignment="1">
      <alignment horizontal="center"/>
    </xf>
    <xf numFmtId="170" fontId="29" fillId="0" borderId="21" xfId="3" applyNumberFormat="1" applyFont="1" applyBorder="1"/>
    <xf numFmtId="0" fontId="29" fillId="0" borderId="47" xfId="4" applyFont="1" applyBorder="1" applyAlignment="1">
      <alignment horizontal="center"/>
    </xf>
    <xf numFmtId="0" fontId="29" fillId="0" borderId="45" xfId="4" applyFont="1" applyBorder="1" applyAlignment="1">
      <alignment horizontal="center"/>
    </xf>
    <xf numFmtId="0" fontId="29" fillId="0" borderId="48" xfId="4" applyFont="1" applyBorder="1"/>
    <xf numFmtId="170" fontId="29" fillId="0" borderId="49" xfId="3" applyNumberFormat="1" applyFont="1" applyBorder="1"/>
    <xf numFmtId="170" fontId="29" fillId="0" borderId="47" xfId="3" applyNumberFormat="1" applyFont="1" applyBorder="1"/>
    <xf numFmtId="170" fontId="29" fillId="0" borderId="45" xfId="3" applyNumberFormat="1" applyFont="1" applyBorder="1"/>
    <xf numFmtId="0" fontId="29" fillId="0" borderId="27" xfId="4" quotePrefix="1" applyFont="1" applyBorder="1"/>
    <xf numFmtId="170" fontId="29" fillId="0" borderId="50" xfId="3" applyNumberFormat="1" applyFont="1" applyBorder="1" applyAlignment="1">
      <alignment horizontal="center"/>
    </xf>
    <xf numFmtId="170" fontId="29" fillId="0" borderId="22" xfId="3" applyNumberFormat="1" applyFont="1" applyBorder="1"/>
    <xf numFmtId="0" fontId="24" fillId="0" borderId="31" xfId="4" applyFont="1" applyBorder="1" applyAlignment="1">
      <alignment horizontal="center" wrapText="1"/>
    </xf>
    <xf numFmtId="0" fontId="24" fillId="0" borderId="19" xfId="4" applyFont="1" applyBorder="1" applyAlignment="1">
      <alignment horizontal="center" vertical="center"/>
    </xf>
    <xf numFmtId="2" fontId="3" fillId="0" borderId="0" xfId="3" applyNumberFormat="1" applyFont="1" applyFill="1" applyBorder="1"/>
    <xf numFmtId="165" fontId="3" fillId="0" borderId="0" xfId="3" applyNumberFormat="1" applyFont="1" applyFill="1" applyBorder="1"/>
    <xf numFmtId="0" fontId="31" fillId="0" borderId="31" xfId="4" applyFont="1" applyBorder="1"/>
    <xf numFmtId="0" fontId="31" fillId="0" borderId="51" xfId="4" applyFont="1" applyBorder="1"/>
    <xf numFmtId="165" fontId="31" fillId="0" borderId="52" xfId="4" applyNumberFormat="1" applyFont="1" applyBorder="1"/>
    <xf numFmtId="0" fontId="31" fillId="0" borderId="53" xfId="4" applyFont="1" applyBorder="1"/>
    <xf numFmtId="0" fontId="30" fillId="0" borderId="30" xfId="4" applyFont="1" applyBorder="1"/>
    <xf numFmtId="0" fontId="30" fillId="0" borderId="16" xfId="4" applyFont="1" applyBorder="1"/>
    <xf numFmtId="165" fontId="30" fillId="0" borderId="30" xfId="4" applyNumberFormat="1" applyFont="1" applyBorder="1"/>
    <xf numFmtId="0" fontId="30" fillId="0" borderId="17" xfId="4" applyFont="1" applyBorder="1"/>
    <xf numFmtId="43" fontId="10" fillId="0" borderId="54" xfId="1" applyFont="1" applyBorder="1" applyAlignment="1">
      <alignment horizontal="center"/>
    </xf>
    <xf numFmtId="0" fontId="10" fillId="0" borderId="55" xfId="4" applyFont="1" applyBorder="1" applyAlignment="1">
      <alignment horizontal="center"/>
    </xf>
    <xf numFmtId="43" fontId="10" fillId="0" borderId="37" xfId="1" applyFont="1" applyBorder="1" applyAlignment="1">
      <alignment horizontal="center"/>
    </xf>
    <xf numFmtId="43" fontId="10" fillId="0" borderId="56" xfId="1" applyFont="1" applyBorder="1" applyAlignment="1">
      <alignment horizontal="center"/>
    </xf>
    <xf numFmtId="0" fontId="10" fillId="0" borderId="27" xfId="4" applyFont="1" applyBorder="1" applyAlignment="1">
      <alignment horizontal="center"/>
    </xf>
    <xf numFmtId="43" fontId="10" fillId="0" borderId="22" xfId="1" applyFont="1" applyBorder="1" applyAlignment="1">
      <alignment horizontal="center"/>
    </xf>
    <xf numFmtId="43" fontId="10" fillId="0" borderId="57" xfId="1" applyFont="1" applyBorder="1" applyAlignment="1">
      <alignment horizontal="center"/>
    </xf>
    <xf numFmtId="43" fontId="10" fillId="0" borderId="0" xfId="1" applyFont="1" applyAlignment="1">
      <alignment horizontal="center"/>
    </xf>
    <xf numFmtId="170" fontId="10" fillId="0" borderId="24" xfId="3" applyNumberFormat="1" applyFont="1" applyBorder="1"/>
    <xf numFmtId="43" fontId="10" fillId="0" borderId="24" xfId="1" applyFont="1" applyBorder="1"/>
    <xf numFmtId="43" fontId="10" fillId="0" borderId="47" xfId="1" applyFont="1" applyBorder="1"/>
    <xf numFmtId="170" fontId="10" fillId="0" borderId="17" xfId="3" applyNumberFormat="1" applyFont="1" applyBorder="1"/>
    <xf numFmtId="43" fontId="10" fillId="0" borderId="17" xfId="1" applyFont="1" applyBorder="1"/>
    <xf numFmtId="43" fontId="10" fillId="0" borderId="45" xfId="1" applyFont="1" applyBorder="1"/>
    <xf numFmtId="170" fontId="10" fillId="0" borderId="21" xfId="3" applyNumberFormat="1" applyFont="1" applyBorder="1"/>
    <xf numFmtId="43" fontId="10" fillId="0" borderId="21" xfId="1" applyFont="1" applyBorder="1"/>
    <xf numFmtId="43" fontId="10" fillId="0" borderId="22" xfId="1" applyFont="1" applyBorder="1"/>
    <xf numFmtId="43" fontId="33" fillId="0" borderId="0" xfId="1" applyFont="1"/>
    <xf numFmtId="0" fontId="33" fillId="0" borderId="0" xfId="4" applyFont="1"/>
    <xf numFmtId="169" fontId="33" fillId="0" borderId="17" xfId="3" applyNumberFormat="1" applyFont="1" applyBorder="1"/>
    <xf numFmtId="170" fontId="10" fillId="0" borderId="32" xfId="1" applyNumberFormat="1" applyFont="1" applyBorder="1" applyAlignment="1">
      <alignment horizontal="center"/>
    </xf>
    <xf numFmtId="170" fontId="10" fillId="0" borderId="21" xfId="1" applyNumberFormat="1" applyFont="1" applyBorder="1" applyAlignment="1">
      <alignment horizontal="center"/>
    </xf>
    <xf numFmtId="170" fontId="10" fillId="0" borderId="24" xfId="1" applyNumberFormat="1" applyFont="1" applyBorder="1"/>
    <xf numFmtId="170" fontId="10" fillId="0" borderId="17" xfId="1" applyNumberFormat="1" applyFont="1" applyBorder="1"/>
    <xf numFmtId="170" fontId="10" fillId="0" borderId="21" xfId="1" applyNumberFormat="1" applyFont="1" applyBorder="1"/>
    <xf numFmtId="170" fontId="33" fillId="0" borderId="0" xfId="1" applyNumberFormat="1" applyFont="1"/>
    <xf numFmtId="0" fontId="3" fillId="4" borderId="0" xfId="4" applyFill="1" applyAlignment="1">
      <alignment horizontal="center"/>
    </xf>
    <xf numFmtId="169" fontId="3" fillId="4" borderId="0" xfId="3" applyNumberFormat="1" applyFont="1" applyFill="1" applyAlignment="1">
      <alignment horizontal="center"/>
    </xf>
    <xf numFmtId="43" fontId="0" fillId="0" borderId="0" xfId="1" applyFont="1"/>
    <xf numFmtId="169" fontId="3" fillId="8" borderId="0" xfId="1" applyNumberFormat="1" applyFont="1" applyFill="1" applyBorder="1"/>
    <xf numFmtId="0" fontId="3" fillId="11" borderId="7" xfId="4" applyFill="1" applyBorder="1"/>
    <xf numFmtId="0" fontId="3" fillId="11" borderId="0" xfId="4" applyFill="1"/>
    <xf numFmtId="0" fontId="3" fillId="11" borderId="6" xfId="4" applyFill="1" applyBorder="1"/>
    <xf numFmtId="0" fontId="3" fillId="11" borderId="9" xfId="4" applyFill="1" applyBorder="1"/>
    <xf numFmtId="0" fontId="3" fillId="11" borderId="10" xfId="4" applyFill="1" applyBorder="1"/>
    <xf numFmtId="170" fontId="35" fillId="0" borderId="0" xfId="1" quotePrefix="1" applyNumberFormat="1" applyFont="1"/>
    <xf numFmtId="3" fontId="29" fillId="0" borderId="17" xfId="1" applyNumberFormat="1" applyFont="1" applyBorder="1" applyAlignment="1">
      <alignment horizontal="center"/>
    </xf>
    <xf numFmtId="0" fontId="36" fillId="0" borderId="30" xfId="4" applyFont="1" applyBorder="1"/>
    <xf numFmtId="0" fontId="3" fillId="11" borderId="18" xfId="4" applyFill="1" applyBorder="1"/>
    <xf numFmtId="0" fontId="3" fillId="11" borderId="38" xfId="4" applyFill="1" applyBorder="1"/>
    <xf numFmtId="0" fontId="3" fillId="11" borderId="11" xfId="4" applyFill="1" applyBorder="1"/>
    <xf numFmtId="0" fontId="4" fillId="11" borderId="7" xfId="4" applyFont="1" applyFill="1" applyBorder="1"/>
    <xf numFmtId="172" fontId="4" fillId="11" borderId="7" xfId="4" applyNumberFormat="1" applyFont="1" applyFill="1" applyBorder="1" applyAlignment="1">
      <alignment horizontal="left"/>
    </xf>
    <xf numFmtId="0" fontId="4" fillId="11" borderId="17" xfId="4" applyFont="1" applyFill="1" applyBorder="1" applyAlignment="1">
      <alignment horizontal="center" vertical="center"/>
    </xf>
    <xf numFmtId="0" fontId="3" fillId="11" borderId="4" xfId="4" applyFill="1" applyBorder="1"/>
    <xf numFmtId="0" fontId="3" fillId="11" borderId="39" xfId="4" applyFill="1" applyBorder="1"/>
    <xf numFmtId="165" fontId="3" fillId="11" borderId="0" xfId="4" applyNumberFormat="1" applyFill="1"/>
    <xf numFmtId="165" fontId="3" fillId="11" borderId="6" xfId="4" applyNumberFormat="1" applyFill="1" applyBorder="1"/>
    <xf numFmtId="165" fontId="4" fillId="11" borderId="34" xfId="4" applyNumberFormat="1" applyFont="1" applyFill="1" applyBorder="1"/>
    <xf numFmtId="165" fontId="4" fillId="11" borderId="59" xfId="4" applyNumberFormat="1" applyFont="1" applyFill="1" applyBorder="1"/>
    <xf numFmtId="2" fontId="3" fillId="11" borderId="0" xfId="4" applyNumberFormat="1" applyFill="1"/>
    <xf numFmtId="169" fontId="3" fillId="11" borderId="0" xfId="3" applyNumberFormat="1" applyFont="1" applyFill="1" applyBorder="1"/>
    <xf numFmtId="165" fontId="3" fillId="11" borderId="0" xfId="3" applyNumberFormat="1" applyFont="1" applyFill="1" applyBorder="1"/>
    <xf numFmtId="2" fontId="3" fillId="11" borderId="0" xfId="3" applyNumberFormat="1" applyFont="1" applyFill="1" applyBorder="1"/>
    <xf numFmtId="0" fontId="10" fillId="11" borderId="6" xfId="4" applyFont="1" applyFill="1" applyBorder="1"/>
    <xf numFmtId="0" fontId="11" fillId="11" borderId="7" xfId="4" applyFont="1" applyFill="1" applyBorder="1"/>
    <xf numFmtId="9" fontId="3" fillId="11" borderId="0" xfId="5" applyFont="1" applyFill="1" applyBorder="1"/>
    <xf numFmtId="0" fontId="9" fillId="11" borderId="40" xfId="4" applyFont="1" applyFill="1" applyBorder="1"/>
    <xf numFmtId="0" fontId="3" fillId="11" borderId="1" xfId="4" applyFill="1" applyBorder="1"/>
    <xf numFmtId="165" fontId="3" fillId="11" borderId="1" xfId="4" applyNumberFormat="1" applyFill="1" applyBorder="1"/>
    <xf numFmtId="169" fontId="3" fillId="11" borderId="1" xfId="3" applyNumberFormat="1" applyFont="1" applyFill="1" applyBorder="1"/>
    <xf numFmtId="165" fontId="3" fillId="11" borderId="41" xfId="4" applyNumberFormat="1" applyFill="1" applyBorder="1"/>
    <xf numFmtId="0" fontId="4" fillId="11" borderId="42" xfId="4" applyFont="1" applyFill="1" applyBorder="1"/>
    <xf numFmtId="0" fontId="3" fillId="11" borderId="15" xfId="4" applyFill="1" applyBorder="1"/>
    <xf numFmtId="165" fontId="4" fillId="11" borderId="15" xfId="4" applyNumberFormat="1" applyFont="1" applyFill="1" applyBorder="1"/>
    <xf numFmtId="165" fontId="27" fillId="11" borderId="15" xfId="4" applyNumberFormat="1" applyFont="1" applyFill="1" applyBorder="1"/>
    <xf numFmtId="165" fontId="4" fillId="11" borderId="43" xfId="4" applyNumberFormat="1" applyFont="1" applyFill="1" applyBorder="1"/>
    <xf numFmtId="2" fontId="4" fillId="11" borderId="15" xfId="4" applyNumberFormat="1" applyFont="1" applyFill="1" applyBorder="1"/>
    <xf numFmtId="0" fontId="3" fillId="11" borderId="36" xfId="4" applyFill="1" applyBorder="1"/>
    <xf numFmtId="0" fontId="10" fillId="11" borderId="7" xfId="4" applyFont="1" applyFill="1" applyBorder="1"/>
    <xf numFmtId="0" fontId="10" fillId="11" borderId="0" xfId="4" applyFont="1" applyFill="1"/>
    <xf numFmtId="165" fontId="10" fillId="11" borderId="0" xfId="4" applyNumberFormat="1" applyFont="1" applyFill="1"/>
    <xf numFmtId="0" fontId="9" fillId="11" borderId="7" xfId="4" applyFont="1" applyFill="1" applyBorder="1"/>
    <xf numFmtId="0" fontId="9" fillId="11" borderId="0" xfId="4" applyFont="1" applyFill="1"/>
    <xf numFmtId="0" fontId="10" fillId="11" borderId="8" xfId="4" applyFont="1" applyFill="1" applyBorder="1"/>
    <xf numFmtId="0" fontId="10" fillId="11" borderId="9" xfId="4" applyFont="1" applyFill="1" applyBorder="1"/>
    <xf numFmtId="0" fontId="4" fillId="11" borderId="20" xfId="4" applyFont="1" applyFill="1" applyBorder="1" applyAlignment="1">
      <alignment horizontal="center" vertical="center"/>
    </xf>
    <xf numFmtId="169" fontId="26" fillId="10" borderId="0" xfId="3" applyNumberFormat="1" applyFont="1" applyFill="1"/>
    <xf numFmtId="169" fontId="3" fillId="10" borderId="0" xfId="3" applyNumberFormat="1" applyFont="1" applyFill="1"/>
    <xf numFmtId="0" fontId="3" fillId="5" borderId="18" xfId="4" applyFill="1" applyBorder="1"/>
    <xf numFmtId="0" fontId="3" fillId="5" borderId="38" xfId="4" applyFill="1" applyBorder="1"/>
    <xf numFmtId="0" fontId="3" fillId="5" borderId="11" xfId="4" applyFill="1" applyBorder="1"/>
    <xf numFmtId="0" fontId="3" fillId="5" borderId="7" xfId="4" applyFill="1" applyBorder="1"/>
    <xf numFmtId="0" fontId="3" fillId="5" borderId="6" xfId="4" applyFill="1" applyBorder="1"/>
    <xf numFmtId="0" fontId="4" fillId="5" borderId="7" xfId="4" applyFont="1" applyFill="1" applyBorder="1"/>
    <xf numFmtId="172" fontId="4" fillId="5" borderId="7" xfId="4" applyNumberFormat="1" applyFont="1" applyFill="1" applyBorder="1" applyAlignment="1">
      <alignment horizontal="left"/>
    </xf>
    <xf numFmtId="0" fontId="3" fillId="5" borderId="39" xfId="4" applyFill="1" applyBorder="1"/>
    <xf numFmtId="165" fontId="3" fillId="5" borderId="6" xfId="4" applyNumberFormat="1" applyFill="1" applyBorder="1"/>
    <xf numFmtId="165" fontId="4" fillId="5" borderId="59" xfId="4" applyNumberFormat="1" applyFont="1" applyFill="1" applyBorder="1"/>
    <xf numFmtId="2" fontId="3" fillId="5" borderId="0" xfId="4" applyNumberFormat="1" applyFill="1"/>
    <xf numFmtId="165" fontId="3" fillId="5" borderId="0" xfId="3" applyNumberFormat="1" applyFont="1" applyFill="1" applyBorder="1"/>
    <xf numFmtId="2" fontId="3" fillId="5" borderId="0" xfId="3" applyNumberFormat="1" applyFont="1" applyFill="1" applyBorder="1"/>
    <xf numFmtId="0" fontId="10" fillId="5" borderId="6" xfId="4" applyFont="1" applyFill="1" applyBorder="1"/>
    <xf numFmtId="0" fontId="11" fillId="5" borderId="7" xfId="4" applyFont="1" applyFill="1" applyBorder="1"/>
    <xf numFmtId="9" fontId="3" fillId="5" borderId="0" xfId="5" applyFont="1" applyFill="1" applyBorder="1"/>
    <xf numFmtId="0" fontId="9" fillId="5" borderId="40" xfId="4" applyFont="1" applyFill="1" applyBorder="1"/>
    <xf numFmtId="169" fontId="3" fillId="5" borderId="1" xfId="3" applyNumberFormat="1" applyFont="1" applyFill="1" applyBorder="1"/>
    <xf numFmtId="165" fontId="3" fillId="5" borderId="41" xfId="4" applyNumberFormat="1" applyFill="1" applyBorder="1"/>
    <xf numFmtId="0" fontId="4" fillId="5" borderId="42" xfId="4" applyFont="1" applyFill="1" applyBorder="1"/>
    <xf numFmtId="165" fontId="4" fillId="5" borderId="43" xfId="4" applyNumberFormat="1" applyFont="1" applyFill="1" applyBorder="1"/>
    <xf numFmtId="0" fontId="10" fillId="5" borderId="7" xfId="4" applyFont="1" applyFill="1" applyBorder="1"/>
    <xf numFmtId="0" fontId="9" fillId="5" borderId="7" xfId="4" applyFont="1" applyFill="1" applyBorder="1"/>
    <xf numFmtId="0" fontId="10" fillId="5" borderId="8" xfId="4" applyFont="1" applyFill="1" applyBorder="1"/>
    <xf numFmtId="0" fontId="10" fillId="5" borderId="9" xfId="4" applyFont="1" applyFill="1" applyBorder="1"/>
    <xf numFmtId="0" fontId="3" fillId="5" borderId="9" xfId="4" applyFill="1" applyBorder="1"/>
    <xf numFmtId="0" fontId="3" fillId="5" borderId="10" xfId="4" applyFill="1" applyBorder="1"/>
    <xf numFmtId="165" fontId="31" fillId="0" borderId="33" xfId="1" applyNumberFormat="1" applyFont="1" applyFill="1" applyBorder="1"/>
    <xf numFmtId="165" fontId="31" fillId="0" borderId="33" xfId="4" applyNumberFormat="1" applyFont="1" applyBorder="1"/>
    <xf numFmtId="0" fontId="0" fillId="0" borderId="0" xfId="0" quotePrefix="1"/>
    <xf numFmtId="4" fontId="29" fillId="0" borderId="17" xfId="4" applyNumberFormat="1" applyFont="1" applyBorder="1" applyAlignment="1">
      <alignment horizontal="center"/>
    </xf>
    <xf numFmtId="43" fontId="29" fillId="0" borderId="17" xfId="4" applyNumberFormat="1" applyFont="1" applyBorder="1"/>
    <xf numFmtId="40" fontId="3" fillId="0" borderId="0" xfId="4" applyNumberFormat="1"/>
    <xf numFmtId="164" fontId="3" fillId="0" borderId="0" xfId="4" applyNumberFormat="1"/>
    <xf numFmtId="43" fontId="3" fillId="14" borderId="0" xfId="1" applyFont="1" applyFill="1" applyBorder="1"/>
    <xf numFmtId="0" fontId="4" fillId="5" borderId="20" xfId="4" applyFont="1" applyFill="1" applyBorder="1" applyAlignment="1">
      <alignment horizontal="center" vertical="center"/>
    </xf>
    <xf numFmtId="0" fontId="21" fillId="0" borderId="0" xfId="4" applyFont="1"/>
    <xf numFmtId="40" fontId="21" fillId="0" borderId="0" xfId="4" applyNumberFormat="1" applyFont="1"/>
    <xf numFmtId="0" fontId="3" fillId="14" borderId="38" xfId="4" applyFill="1" applyBorder="1"/>
    <xf numFmtId="0" fontId="4" fillId="14" borderId="20" xfId="4" applyFont="1" applyFill="1" applyBorder="1" applyAlignment="1">
      <alignment horizontal="center" vertical="center"/>
    </xf>
    <xf numFmtId="0" fontId="4" fillId="14" borderId="17" xfId="4" applyFont="1" applyFill="1" applyBorder="1" applyAlignment="1">
      <alignment horizontal="center" vertical="center"/>
    </xf>
    <xf numFmtId="0" fontId="3" fillId="14" borderId="18" xfId="4" applyFill="1" applyBorder="1"/>
    <xf numFmtId="0" fontId="3" fillId="14" borderId="11" xfId="4" applyFill="1" applyBorder="1"/>
    <xf numFmtId="0" fontId="3" fillId="14" borderId="7" xfId="4" applyFill="1" applyBorder="1"/>
    <xf numFmtId="0" fontId="3" fillId="14" borderId="0" xfId="4" applyFill="1"/>
    <xf numFmtId="0" fontId="3" fillId="14" borderId="6" xfId="4" applyFill="1" applyBorder="1"/>
    <xf numFmtId="0" fontId="4" fillId="14" borderId="7" xfId="4" applyFont="1" applyFill="1" applyBorder="1"/>
    <xf numFmtId="172" fontId="4" fillId="14" borderId="7" xfId="4" applyNumberFormat="1" applyFont="1" applyFill="1" applyBorder="1" applyAlignment="1">
      <alignment horizontal="left"/>
    </xf>
    <xf numFmtId="0" fontId="3" fillId="14" borderId="4" xfId="4" applyFill="1" applyBorder="1"/>
    <xf numFmtId="0" fontId="3" fillId="14" borderId="39" xfId="4" applyFill="1" applyBorder="1"/>
    <xf numFmtId="165" fontId="3" fillId="14" borderId="0" xfId="4" applyNumberFormat="1" applyFill="1"/>
    <xf numFmtId="165" fontId="3" fillId="14" borderId="6" xfId="4" applyNumberFormat="1" applyFill="1" applyBorder="1"/>
    <xf numFmtId="165" fontId="4" fillId="14" borderId="34" xfId="4" applyNumberFormat="1" applyFont="1" applyFill="1" applyBorder="1"/>
    <xf numFmtId="165" fontId="4" fillId="14" borderId="59" xfId="4" applyNumberFormat="1" applyFont="1" applyFill="1" applyBorder="1"/>
    <xf numFmtId="2" fontId="3" fillId="14" borderId="0" xfId="4" applyNumberFormat="1" applyFill="1"/>
    <xf numFmtId="169" fontId="3" fillId="14" borderId="0" xfId="3" applyNumberFormat="1" applyFont="1" applyFill="1" applyBorder="1"/>
    <xf numFmtId="165" fontId="3" fillId="14" borderId="0" xfId="3" applyNumberFormat="1" applyFont="1" applyFill="1" applyBorder="1"/>
    <xf numFmtId="2" fontId="3" fillId="14" borderId="0" xfId="3" applyNumberFormat="1" applyFont="1" applyFill="1" applyBorder="1"/>
    <xf numFmtId="0" fontId="10" fillId="14" borderId="6" xfId="4" applyFont="1" applyFill="1" applyBorder="1"/>
    <xf numFmtId="0" fontId="11" fillId="14" borderId="7" xfId="4" applyFont="1" applyFill="1" applyBorder="1"/>
    <xf numFmtId="9" fontId="3" fillId="14" borderId="0" xfId="5" applyFont="1" applyFill="1" applyBorder="1"/>
    <xf numFmtId="0" fontId="9" fillId="14" borderId="40" xfId="4" applyFont="1" applyFill="1" applyBorder="1"/>
    <xf numFmtId="0" fontId="3" fillId="14" borderId="1" xfId="4" applyFill="1" applyBorder="1"/>
    <xf numFmtId="165" fontId="3" fillId="14" borderId="1" xfId="4" applyNumberFormat="1" applyFill="1" applyBorder="1"/>
    <xf numFmtId="169" fontId="3" fillId="14" borderId="1" xfId="3" applyNumberFormat="1" applyFont="1" applyFill="1" applyBorder="1"/>
    <xf numFmtId="165" fontId="3" fillId="14" borderId="41" xfId="4" applyNumberFormat="1" applyFill="1" applyBorder="1"/>
    <xf numFmtId="0" fontId="4" fillId="14" borderId="42" xfId="4" applyFont="1" applyFill="1" applyBorder="1"/>
    <xf numFmtId="0" fontId="3" fillId="14" borderId="15" xfId="4" applyFill="1" applyBorder="1"/>
    <xf numFmtId="165" fontId="4" fillId="14" borderId="15" xfId="4" applyNumberFormat="1" applyFont="1" applyFill="1" applyBorder="1"/>
    <xf numFmtId="165" fontId="27" fillId="14" borderId="15" xfId="4" applyNumberFormat="1" applyFont="1" applyFill="1" applyBorder="1"/>
    <xf numFmtId="165" fontId="4" fillId="14" borderId="43" xfId="4" applyNumberFormat="1" applyFont="1" applyFill="1" applyBorder="1"/>
    <xf numFmtId="2" fontId="4" fillId="14" borderId="15" xfId="4" applyNumberFormat="1" applyFont="1" applyFill="1" applyBorder="1"/>
    <xf numFmtId="0" fontId="3" fillId="14" borderId="36" xfId="4" applyFill="1" applyBorder="1"/>
    <xf numFmtId="0" fontId="10" fillId="14" borderId="7" xfId="4" applyFont="1" applyFill="1" applyBorder="1"/>
    <xf numFmtId="0" fontId="10" fillId="14" borderId="0" xfId="4" applyFont="1" applyFill="1"/>
    <xf numFmtId="165" fontId="10" fillId="14" borderId="0" xfId="4" applyNumberFormat="1" applyFont="1" applyFill="1"/>
    <xf numFmtId="0" fontId="9" fillId="14" borderId="7" xfId="4" applyFont="1" applyFill="1" applyBorder="1"/>
    <xf numFmtId="0" fontId="9" fillId="14" borderId="0" xfId="4" applyFont="1" applyFill="1"/>
    <xf numFmtId="0" fontId="10" fillId="14" borderId="8" xfId="4" applyFont="1" applyFill="1" applyBorder="1"/>
    <xf numFmtId="0" fontId="10" fillId="14" borderId="9" xfId="4" applyFont="1" applyFill="1" applyBorder="1"/>
    <xf numFmtId="0" fontId="3" fillId="14" borderId="9" xfId="4" applyFill="1" applyBorder="1"/>
    <xf numFmtId="0" fontId="3" fillId="14" borderId="10" xfId="4" applyFill="1" applyBorder="1"/>
    <xf numFmtId="0" fontId="4" fillId="10" borderId="20" xfId="4" applyFont="1" applyFill="1" applyBorder="1" applyAlignment="1">
      <alignment horizontal="center" vertical="center"/>
    </xf>
    <xf numFmtId="0" fontId="4" fillId="10" borderId="17" xfId="4" applyFont="1" applyFill="1" applyBorder="1" applyAlignment="1">
      <alignment horizontal="center" vertical="center"/>
    </xf>
    <xf numFmtId="165" fontId="4" fillId="0" borderId="0" xfId="4" applyNumberFormat="1" applyFont="1"/>
    <xf numFmtId="165" fontId="4" fillId="0" borderId="6" xfId="4" applyNumberFormat="1" applyFont="1" applyBorder="1"/>
    <xf numFmtId="169" fontId="3" fillId="0" borderId="0" xfId="1" applyNumberFormat="1" applyFont="1" applyFill="1" applyBorder="1"/>
    <xf numFmtId="0" fontId="48" fillId="0" borderId="17" xfId="4" applyFont="1" applyBorder="1" applyAlignment="1">
      <alignment horizontal="center"/>
    </xf>
    <xf numFmtId="3" fontId="48" fillId="0" borderId="17" xfId="1" applyNumberFormat="1" applyFont="1" applyBorder="1" applyAlignment="1">
      <alignment horizontal="center"/>
    </xf>
    <xf numFmtId="0" fontId="49" fillId="0" borderId="16" xfId="4" applyFont="1" applyBorder="1"/>
    <xf numFmtId="0" fontId="39" fillId="0" borderId="17" xfId="4" applyFont="1" applyBorder="1" applyAlignment="1">
      <alignment horizontal="center" vertical="center" wrapText="1"/>
    </xf>
    <xf numFmtId="0" fontId="50" fillId="0" borderId="17" xfId="4" applyFont="1" applyBorder="1" applyAlignment="1">
      <alignment horizontal="center" vertical="center"/>
    </xf>
    <xf numFmtId="0" fontId="50" fillId="0" borderId="17" xfId="4" applyFont="1" applyBorder="1" applyAlignment="1">
      <alignment horizontal="center" vertical="center" wrapText="1"/>
    </xf>
    <xf numFmtId="0" fontId="40" fillId="0" borderId="17" xfId="4" applyFont="1" applyBorder="1" applyAlignment="1">
      <alignment horizontal="center" vertical="center" wrapText="1"/>
    </xf>
    <xf numFmtId="0" fontId="41" fillId="0" borderId="17" xfId="4" applyFont="1" applyBorder="1" applyAlignment="1">
      <alignment horizontal="center" vertical="center" wrapText="1"/>
    </xf>
    <xf numFmtId="0" fontId="42" fillId="0" borderId="17" xfId="4" applyFont="1" applyBorder="1" applyAlignment="1">
      <alignment horizontal="center" vertical="center" wrapText="1"/>
    </xf>
    <xf numFmtId="0" fontId="42" fillId="0" borderId="0" xfId="4" applyFont="1"/>
    <xf numFmtId="0" fontId="41" fillId="0" borderId="0" xfId="4" applyFont="1"/>
    <xf numFmtId="0" fontId="43" fillId="0" borderId="0" xfId="4" applyFont="1"/>
    <xf numFmtId="0" fontId="41" fillId="0" borderId="17" xfId="4" applyFont="1" applyBorder="1" applyAlignment="1">
      <alignment horizontal="center"/>
    </xf>
    <xf numFmtId="0" fontId="41" fillId="0" borderId="19" xfId="4" applyFont="1" applyBorder="1"/>
    <xf numFmtId="0" fontId="41" fillId="0" borderId="4" xfId="4" applyFont="1" applyBorder="1"/>
    <xf numFmtId="165" fontId="41" fillId="0" borderId="12" xfId="4" applyNumberFormat="1" applyFont="1" applyBorder="1"/>
    <xf numFmtId="0" fontId="41" fillId="0" borderId="31" xfId="4" applyFont="1" applyBorder="1"/>
    <xf numFmtId="0" fontId="41" fillId="0" borderId="12" xfId="4" applyFont="1" applyBorder="1"/>
    <xf numFmtId="165" fontId="41" fillId="0" borderId="33" xfId="1" applyNumberFormat="1" applyFont="1" applyFill="1" applyBorder="1"/>
    <xf numFmtId="0" fontId="41" fillId="0" borderId="51" xfId="4" applyFont="1" applyBorder="1"/>
    <xf numFmtId="165" fontId="41" fillId="0" borderId="33" xfId="4" applyNumberFormat="1" applyFont="1" applyBorder="1"/>
    <xf numFmtId="0" fontId="41" fillId="0" borderId="33" xfId="4" applyFont="1" applyBorder="1"/>
    <xf numFmtId="165" fontId="41" fillId="0" borderId="52" xfId="4" applyNumberFormat="1" applyFont="1" applyBorder="1"/>
    <xf numFmtId="0" fontId="41" fillId="0" borderId="53" xfId="4" applyFont="1" applyBorder="1"/>
    <xf numFmtId="0" fontId="42" fillId="0" borderId="30" xfId="4" applyFont="1" applyBorder="1"/>
    <xf numFmtId="0" fontId="42" fillId="0" borderId="16" xfId="4" applyFont="1" applyBorder="1"/>
    <xf numFmtId="165" fontId="42" fillId="0" borderId="30" xfId="4" applyNumberFormat="1" applyFont="1" applyBorder="1"/>
    <xf numFmtId="0" fontId="42" fillId="0" borderId="17" xfId="4" applyFont="1" applyBorder="1"/>
    <xf numFmtId="173" fontId="3" fillId="0" borderId="0" xfId="4" applyNumberFormat="1"/>
    <xf numFmtId="170" fontId="3" fillId="0" borderId="0" xfId="1" applyNumberFormat="1" applyFont="1"/>
    <xf numFmtId="43" fontId="3" fillId="0" borderId="0" xfId="1" applyFont="1"/>
    <xf numFmtId="0" fontId="3" fillId="10" borderId="18" xfId="4" applyFill="1" applyBorder="1"/>
    <xf numFmtId="0" fontId="3" fillId="10" borderId="38" xfId="4" applyFill="1" applyBorder="1"/>
    <xf numFmtId="0" fontId="3" fillId="10" borderId="11" xfId="4" applyFill="1" applyBorder="1"/>
    <xf numFmtId="0" fontId="3" fillId="10" borderId="7" xfId="4" applyFill="1" applyBorder="1"/>
    <xf numFmtId="0" fontId="3" fillId="10" borderId="6" xfId="4" applyFill="1" applyBorder="1"/>
    <xf numFmtId="0" fontId="4" fillId="10" borderId="7" xfId="4" applyFont="1" applyFill="1" applyBorder="1"/>
    <xf numFmtId="172" fontId="4" fillId="10" borderId="7" xfId="4" applyNumberFormat="1" applyFont="1" applyFill="1" applyBorder="1" applyAlignment="1">
      <alignment horizontal="left"/>
    </xf>
    <xf numFmtId="0" fontId="3" fillId="10" borderId="4" xfId="4" applyFill="1" applyBorder="1"/>
    <xf numFmtId="0" fontId="3" fillId="10" borderId="39" xfId="4" applyFill="1" applyBorder="1"/>
    <xf numFmtId="165" fontId="3" fillId="10" borderId="0" xfId="4" applyNumberFormat="1" applyFill="1"/>
    <xf numFmtId="165" fontId="3" fillId="10" borderId="6" xfId="4" applyNumberFormat="1" applyFill="1" applyBorder="1"/>
    <xf numFmtId="165" fontId="4" fillId="10" borderId="0" xfId="4" applyNumberFormat="1" applyFont="1" applyFill="1"/>
    <xf numFmtId="165" fontId="4" fillId="10" borderId="6" xfId="4" applyNumberFormat="1" applyFont="1" applyFill="1" applyBorder="1"/>
    <xf numFmtId="2" fontId="3" fillId="10" borderId="0" xfId="4" applyNumberFormat="1" applyFill="1"/>
    <xf numFmtId="169" fontId="3" fillId="10" borderId="0" xfId="3" applyNumberFormat="1" applyFont="1" applyFill="1" applyBorder="1"/>
    <xf numFmtId="165" fontId="3" fillId="10" borderId="0" xfId="3" applyNumberFormat="1" applyFont="1" applyFill="1" applyBorder="1"/>
    <xf numFmtId="2" fontId="3" fillId="10" borderId="0" xfId="3" applyNumberFormat="1" applyFont="1" applyFill="1" applyBorder="1"/>
    <xf numFmtId="0" fontId="10" fillId="10" borderId="6" xfId="4" applyFont="1" applyFill="1" applyBorder="1"/>
    <xf numFmtId="0" fontId="11" fillId="10" borderId="7" xfId="4" applyFont="1" applyFill="1" applyBorder="1"/>
    <xf numFmtId="9" fontId="3" fillId="10" borderId="0" xfId="5" applyFont="1" applyFill="1" applyBorder="1"/>
    <xf numFmtId="0" fontId="9" fillId="10" borderId="40" xfId="4" applyFont="1" applyFill="1" applyBorder="1"/>
    <xf numFmtId="0" fontId="3" fillId="10" borderId="1" xfId="4" applyFill="1" applyBorder="1"/>
    <xf numFmtId="165" fontId="3" fillId="10" borderId="1" xfId="4" applyNumberFormat="1" applyFill="1" applyBorder="1"/>
    <xf numFmtId="169" fontId="3" fillId="10" borderId="1" xfId="3" applyNumberFormat="1" applyFont="1" applyFill="1" applyBorder="1"/>
    <xf numFmtId="165" fontId="3" fillId="10" borderId="41" xfId="4" applyNumberFormat="1" applyFill="1" applyBorder="1"/>
    <xf numFmtId="0" fontId="4" fillId="10" borderId="42" xfId="4" applyFont="1" applyFill="1" applyBorder="1"/>
    <xf numFmtId="0" fontId="3" fillId="10" borderId="15" xfId="4" applyFill="1" applyBorder="1"/>
    <xf numFmtId="165" fontId="4" fillId="10" borderId="15" xfId="4" applyNumberFormat="1" applyFont="1" applyFill="1" applyBorder="1"/>
    <xf numFmtId="165" fontId="27" fillId="10" borderId="15" xfId="4" applyNumberFormat="1" applyFont="1" applyFill="1" applyBorder="1"/>
    <xf numFmtId="165" fontId="4" fillId="10" borderId="43" xfId="4" applyNumberFormat="1" applyFont="1" applyFill="1" applyBorder="1"/>
    <xf numFmtId="2" fontId="4" fillId="10" borderId="15" xfId="4" applyNumberFormat="1" applyFont="1" applyFill="1" applyBorder="1"/>
    <xf numFmtId="0" fontId="3" fillId="10" borderId="36" xfId="4" applyFill="1" applyBorder="1"/>
    <xf numFmtId="169" fontId="3" fillId="10" borderId="0" xfId="1" applyNumberFormat="1" applyFont="1" applyFill="1" applyBorder="1"/>
    <xf numFmtId="0" fontId="10" fillId="10" borderId="7" xfId="4" applyFont="1" applyFill="1" applyBorder="1"/>
    <xf numFmtId="0" fontId="10" fillId="10" borderId="0" xfId="4" applyFont="1" applyFill="1"/>
    <xf numFmtId="165" fontId="10" fillId="10" borderId="0" xfId="4" applyNumberFormat="1" applyFont="1" applyFill="1"/>
    <xf numFmtId="0" fontId="9" fillId="10" borderId="7" xfId="4" applyFont="1" applyFill="1" applyBorder="1"/>
    <xf numFmtId="0" fontId="9" fillId="10" borderId="0" xfId="4" applyFont="1" applyFill="1"/>
    <xf numFmtId="0" fontId="10" fillId="10" borderId="8" xfId="4" applyFont="1" applyFill="1" applyBorder="1"/>
    <xf numFmtId="0" fontId="10" fillId="10" borderId="9" xfId="4" applyFont="1" applyFill="1" applyBorder="1"/>
    <xf numFmtId="0" fontId="3" fillId="10" borderId="9" xfId="4" applyFill="1" applyBorder="1"/>
    <xf numFmtId="0" fontId="3" fillId="10" borderId="10" xfId="4" applyFill="1" applyBorder="1"/>
    <xf numFmtId="165" fontId="47" fillId="0" borderId="0" xfId="4" applyNumberFormat="1" applyFont="1"/>
    <xf numFmtId="0" fontId="51" fillId="0" borderId="0" xfId="0" applyFont="1" applyAlignment="1">
      <alignment wrapText="1"/>
    </xf>
    <xf numFmtId="0" fontId="0" fillId="0" borderId="17" xfId="0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indent="1"/>
    </xf>
    <xf numFmtId="0" fontId="0" fillId="0" borderId="24" xfId="0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3" fillId="0" borderId="26" xfId="0" applyFont="1" applyBorder="1" applyAlignment="1">
      <alignment horizontal="left" indent="1"/>
    </xf>
    <xf numFmtId="0" fontId="0" fillId="0" borderId="45" xfId="0" applyBorder="1" applyAlignment="1">
      <alignment horizontal="center"/>
    </xf>
    <xf numFmtId="0" fontId="3" fillId="0" borderId="27" xfId="0" applyFont="1" applyBorder="1" applyAlignment="1">
      <alignment horizontal="left" wrapText="1" inden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1" fillId="10" borderId="60" xfId="0" applyFont="1" applyFill="1" applyBorder="1" applyAlignment="1">
      <alignment horizontal="right"/>
    </xf>
    <xf numFmtId="0" fontId="4" fillId="10" borderId="61" xfId="0" applyFont="1" applyFill="1" applyBorder="1" applyAlignment="1">
      <alignment horizontal="center"/>
    </xf>
    <xf numFmtId="165" fontId="4" fillId="10" borderId="62" xfId="0" applyNumberFormat="1" applyFont="1" applyFill="1" applyBorder="1" applyAlignment="1">
      <alignment horizontal="center"/>
    </xf>
    <xf numFmtId="0" fontId="4" fillId="3" borderId="17" xfId="4" applyFont="1" applyFill="1" applyBorder="1" applyAlignment="1">
      <alignment horizontal="center" vertical="center"/>
    </xf>
    <xf numFmtId="0" fontId="29" fillId="0" borderId="19" xfId="4" applyFont="1" applyBorder="1"/>
    <xf numFmtId="0" fontId="29" fillId="0" borderId="4" xfId="4" applyFont="1" applyBorder="1"/>
    <xf numFmtId="165" fontId="29" fillId="0" borderId="12" xfId="4" applyNumberFormat="1" applyFont="1" applyBorder="1"/>
    <xf numFmtId="0" fontId="29" fillId="0" borderId="31" xfId="4" applyFont="1" applyBorder="1"/>
    <xf numFmtId="0" fontId="29" fillId="0" borderId="12" xfId="4" applyFont="1" applyBorder="1"/>
    <xf numFmtId="165" fontId="29" fillId="0" borderId="33" xfId="1" applyNumberFormat="1" applyFont="1" applyFill="1" applyBorder="1"/>
    <xf numFmtId="0" fontId="29" fillId="0" borderId="51" xfId="4" applyFont="1" applyBorder="1"/>
    <xf numFmtId="165" fontId="29" fillId="0" borderId="33" xfId="4" applyNumberFormat="1" applyFont="1" applyBorder="1"/>
    <xf numFmtId="0" fontId="29" fillId="0" borderId="33" xfId="4" applyFont="1" applyBorder="1"/>
    <xf numFmtId="165" fontId="29" fillId="0" borderId="52" xfId="4" applyNumberFormat="1" applyFont="1" applyBorder="1"/>
    <xf numFmtId="0" fontId="29" fillId="0" borderId="53" xfId="4" applyFont="1" applyBorder="1"/>
    <xf numFmtId="0" fontId="28" fillId="0" borderId="30" xfId="4" applyFont="1" applyBorder="1"/>
    <xf numFmtId="0" fontId="28" fillId="0" borderId="16" xfId="4" applyFont="1" applyBorder="1"/>
    <xf numFmtId="165" fontId="28" fillId="0" borderId="30" xfId="4" applyNumberFormat="1" applyFont="1" applyBorder="1"/>
    <xf numFmtId="0" fontId="28" fillId="0" borderId="17" xfId="4" applyFont="1" applyBorder="1"/>
    <xf numFmtId="170" fontId="46" fillId="0" borderId="0" xfId="1" quotePrefix="1" applyNumberFormat="1" applyFont="1"/>
    <xf numFmtId="9" fontId="48" fillId="0" borderId="17" xfId="5" applyFont="1" applyBorder="1" applyAlignment="1">
      <alignment horizontal="center"/>
    </xf>
    <xf numFmtId="43" fontId="48" fillId="0" borderId="17" xfId="1" applyFont="1" applyFill="1" applyBorder="1"/>
    <xf numFmtId="0" fontId="4" fillId="3" borderId="20" xfId="4" applyFont="1" applyFill="1" applyBorder="1" applyAlignment="1">
      <alignment horizontal="center" vertical="center"/>
    </xf>
    <xf numFmtId="0" fontId="3" fillId="3" borderId="18" xfId="4" applyFill="1" applyBorder="1"/>
    <xf numFmtId="0" fontId="3" fillId="3" borderId="38" xfId="4" applyFill="1" applyBorder="1"/>
    <xf numFmtId="0" fontId="3" fillId="3" borderId="11" xfId="4" applyFill="1" applyBorder="1"/>
    <xf numFmtId="0" fontId="3" fillId="3" borderId="7" xfId="4" applyFill="1" applyBorder="1"/>
    <xf numFmtId="0" fontId="3" fillId="3" borderId="0" xfId="4" applyFill="1"/>
    <xf numFmtId="0" fontId="3" fillId="3" borderId="6" xfId="4" applyFill="1" applyBorder="1"/>
    <xf numFmtId="0" fontId="4" fillId="3" borderId="7" xfId="4" applyFont="1" applyFill="1" applyBorder="1"/>
    <xf numFmtId="172" fontId="4" fillId="3" borderId="7" xfId="4" applyNumberFormat="1" applyFont="1" applyFill="1" applyBorder="1" applyAlignment="1">
      <alignment horizontal="left"/>
    </xf>
    <xf numFmtId="0" fontId="3" fillId="3" borderId="4" xfId="4" applyFill="1" applyBorder="1"/>
    <xf numFmtId="0" fontId="3" fillId="3" borderId="39" xfId="4" applyFill="1" applyBorder="1"/>
    <xf numFmtId="165" fontId="3" fillId="3" borderId="0" xfId="4" applyNumberFormat="1" applyFill="1"/>
    <xf numFmtId="165" fontId="3" fillId="3" borderId="6" xfId="4" applyNumberFormat="1" applyFill="1" applyBorder="1"/>
    <xf numFmtId="165" fontId="4" fillId="3" borderId="0" xfId="4" applyNumberFormat="1" applyFont="1" applyFill="1"/>
    <xf numFmtId="165" fontId="4" fillId="3" borderId="6" xfId="4" applyNumberFormat="1" applyFont="1" applyFill="1" applyBorder="1"/>
    <xf numFmtId="2" fontId="3" fillId="3" borderId="0" xfId="4" applyNumberFormat="1" applyFill="1"/>
    <xf numFmtId="169" fontId="3" fillId="3" borderId="0" xfId="3" applyNumberFormat="1" applyFont="1" applyFill="1" applyBorder="1"/>
    <xf numFmtId="165" fontId="3" fillId="3" borderId="0" xfId="3" applyNumberFormat="1" applyFont="1" applyFill="1" applyBorder="1"/>
    <xf numFmtId="2" fontId="3" fillId="3" borderId="0" xfId="3" applyNumberFormat="1" applyFont="1" applyFill="1" applyBorder="1"/>
    <xf numFmtId="0" fontId="10" fillId="3" borderId="6" xfId="4" applyFont="1" applyFill="1" applyBorder="1"/>
    <xf numFmtId="0" fontId="11" fillId="3" borderId="7" xfId="4" applyFont="1" applyFill="1" applyBorder="1"/>
    <xf numFmtId="9" fontId="3" fillId="3" borderId="0" xfId="5" applyFont="1" applyFill="1" applyBorder="1"/>
    <xf numFmtId="0" fontId="9" fillId="3" borderId="40" xfId="4" applyFont="1" applyFill="1" applyBorder="1"/>
    <xf numFmtId="0" fontId="3" fillId="3" borderId="1" xfId="4" applyFill="1" applyBorder="1"/>
    <xf numFmtId="165" fontId="3" fillId="3" borderId="1" xfId="4" applyNumberFormat="1" applyFill="1" applyBorder="1"/>
    <xf numFmtId="169" fontId="3" fillId="3" borderId="1" xfId="3" applyNumberFormat="1" applyFont="1" applyFill="1" applyBorder="1"/>
    <xf numFmtId="165" fontId="3" fillId="3" borderId="41" xfId="4" applyNumberFormat="1" applyFill="1" applyBorder="1"/>
    <xf numFmtId="0" fontId="4" fillId="3" borderId="42" xfId="4" applyFont="1" applyFill="1" applyBorder="1"/>
    <xf numFmtId="0" fontId="3" fillId="3" borderId="15" xfId="4" applyFill="1" applyBorder="1"/>
    <xf numFmtId="165" fontId="4" fillId="3" borderId="15" xfId="4" applyNumberFormat="1" applyFont="1" applyFill="1" applyBorder="1"/>
    <xf numFmtId="165" fontId="27" fillId="3" borderId="15" xfId="4" applyNumberFormat="1" applyFont="1" applyFill="1" applyBorder="1"/>
    <xf numFmtId="165" fontId="4" fillId="3" borderId="43" xfId="4" applyNumberFormat="1" applyFont="1" applyFill="1" applyBorder="1"/>
    <xf numFmtId="2" fontId="4" fillId="3" borderId="15" xfId="4" applyNumberFormat="1" applyFont="1" applyFill="1" applyBorder="1"/>
    <xf numFmtId="0" fontId="3" fillId="3" borderId="36" xfId="4" applyFill="1" applyBorder="1"/>
    <xf numFmtId="0" fontId="0" fillId="3" borderId="0" xfId="0" applyFill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169" fontId="3" fillId="3" borderId="0" xfId="1" applyNumberFormat="1" applyFont="1" applyFill="1" applyBorder="1"/>
    <xf numFmtId="0" fontId="10" fillId="3" borderId="7" xfId="4" applyFont="1" applyFill="1" applyBorder="1"/>
    <xf numFmtId="0" fontId="10" fillId="3" borderId="0" xfId="4" applyFont="1" applyFill="1"/>
    <xf numFmtId="165" fontId="10" fillId="3" borderId="0" xfId="4" applyNumberFormat="1" applyFont="1" applyFill="1"/>
    <xf numFmtId="0" fontId="9" fillId="3" borderId="7" xfId="4" applyFont="1" applyFill="1" applyBorder="1"/>
    <xf numFmtId="0" fontId="9" fillId="3" borderId="0" xfId="4" applyFont="1" applyFill="1"/>
    <xf numFmtId="0" fontId="10" fillId="3" borderId="8" xfId="4" applyFont="1" applyFill="1" applyBorder="1"/>
    <xf numFmtId="0" fontId="10" fillId="3" borderId="9" xfId="4" applyFont="1" applyFill="1" applyBorder="1"/>
    <xf numFmtId="0" fontId="3" fillId="3" borderId="9" xfId="4" applyFill="1" applyBorder="1"/>
    <xf numFmtId="0" fontId="3" fillId="3" borderId="10" xfId="4" applyFill="1" applyBorder="1"/>
    <xf numFmtId="166" fontId="3" fillId="0" borderId="0" xfId="4" applyNumberFormat="1"/>
    <xf numFmtId="166" fontId="3" fillId="0" borderId="0" xfId="3" applyNumberFormat="1" applyFont="1" applyFill="1" applyBorder="1"/>
    <xf numFmtId="0" fontId="9" fillId="0" borderId="42" xfId="4" applyFont="1" applyBorder="1"/>
    <xf numFmtId="0" fontId="4" fillId="8" borderId="42" xfId="4" applyFont="1" applyFill="1" applyBorder="1"/>
    <xf numFmtId="165" fontId="4" fillId="8" borderId="43" xfId="4" applyNumberFormat="1" applyFont="1" applyFill="1" applyBorder="1"/>
    <xf numFmtId="0" fontId="4" fillId="0" borderId="7" xfId="4" applyFont="1" applyBorder="1" applyAlignment="1">
      <alignment vertical="center" wrapText="1"/>
    </xf>
    <xf numFmtId="0" fontId="3" fillId="0" borderId="0" xfId="4" applyAlignment="1">
      <alignment vertical="center"/>
    </xf>
    <xf numFmtId="0" fontId="4" fillId="0" borderId="7" xfId="4" applyFont="1" applyBorder="1" applyAlignment="1">
      <alignment wrapText="1"/>
    </xf>
    <xf numFmtId="43" fontId="0" fillId="0" borderId="4" xfId="1" applyFont="1" applyBorder="1"/>
    <xf numFmtId="0" fontId="4" fillId="0" borderId="16" xfId="0" applyFont="1" applyBorder="1"/>
    <xf numFmtId="4" fontId="4" fillId="0" borderId="16" xfId="0" applyNumberFormat="1" applyFont="1" applyBorder="1"/>
    <xf numFmtId="4" fontId="4" fillId="0" borderId="0" xfId="0" applyNumberFormat="1" applyFont="1"/>
    <xf numFmtId="0" fontId="38" fillId="0" borderId="0" xfId="0" applyFont="1"/>
    <xf numFmtId="43" fontId="0" fillId="0" borderId="0" xfId="1" applyFont="1" applyFill="1"/>
    <xf numFmtId="0" fontId="0" fillId="0" borderId="16" xfId="0" applyBorder="1"/>
    <xf numFmtId="0" fontId="11" fillId="0" borderId="30" xfId="0" applyFont="1" applyBorder="1"/>
    <xf numFmtId="43" fontId="0" fillId="0" borderId="20" xfId="1" applyFont="1" applyBorder="1"/>
    <xf numFmtId="0" fontId="0" fillId="0" borderId="4" xfId="0" applyBorder="1"/>
    <xf numFmtId="0" fontId="0" fillId="0" borderId="3" xfId="0" applyBorder="1"/>
    <xf numFmtId="0" fontId="3" fillId="0" borderId="4" xfId="0" applyFont="1" applyBorder="1"/>
    <xf numFmtId="0" fontId="3" fillId="0" borderId="3" xfId="0" applyFont="1" applyBorder="1"/>
    <xf numFmtId="43" fontId="0" fillId="0" borderId="3" xfId="1" applyFont="1" applyBorder="1"/>
    <xf numFmtId="43" fontId="4" fillId="0" borderId="16" xfId="0" applyNumberFormat="1" applyFont="1" applyBorder="1"/>
    <xf numFmtId="0" fontId="6" fillId="0" borderId="3" xfId="0" applyFont="1" applyBorder="1"/>
    <xf numFmtId="0" fontId="37" fillId="0" borderId="0" xfId="0" applyFont="1"/>
    <xf numFmtId="43" fontId="5" fillId="0" borderId="3" xfId="1" applyFont="1" applyBorder="1"/>
    <xf numFmtId="0" fontId="5" fillId="0" borderId="3" xfId="0" applyFont="1" applyBorder="1"/>
    <xf numFmtId="0" fontId="4" fillId="8" borderId="0" xfId="0" applyFont="1" applyFill="1"/>
    <xf numFmtId="43" fontId="52" fillId="8" borderId="1" xfId="1" applyFont="1" applyFill="1" applyBorder="1"/>
    <xf numFmtId="43" fontId="4" fillId="8" borderId="1" xfId="1" applyFont="1" applyFill="1" applyBorder="1"/>
    <xf numFmtId="0" fontId="15" fillId="0" borderId="0" xfId="0" applyFont="1"/>
    <xf numFmtId="43" fontId="3" fillId="0" borderId="0" xfId="1" applyFont="1" applyFill="1"/>
    <xf numFmtId="0" fontId="3" fillId="9" borderId="18" xfId="4" applyFill="1" applyBorder="1"/>
    <xf numFmtId="0" fontId="3" fillId="9" borderId="38" xfId="4" applyFill="1" applyBorder="1"/>
    <xf numFmtId="165" fontId="0" fillId="0" borderId="0" xfId="3" applyNumberFormat="1" applyFont="1"/>
    <xf numFmtId="0" fontId="0" fillId="0" borderId="11" xfId="0" applyBorder="1"/>
    <xf numFmtId="169" fontId="0" fillId="0" borderId="0" xfId="1" applyNumberFormat="1" applyFont="1" applyBorder="1"/>
    <xf numFmtId="169" fontId="0" fillId="0" borderId="6" xfId="0" applyNumberFormat="1" applyBorder="1"/>
    <xf numFmtId="9" fontId="0" fillId="0" borderId="0" xfId="5" applyFont="1" applyBorder="1"/>
    <xf numFmtId="165" fontId="0" fillId="0" borderId="0" xfId="1" applyNumberFormat="1" applyFont="1" applyBorder="1"/>
    <xf numFmtId="0" fontId="4" fillId="8" borderId="42" xfId="4" applyFont="1" applyFill="1" applyBorder="1" applyAlignment="1">
      <alignment vertical="center"/>
    </xf>
    <xf numFmtId="0" fontId="3" fillId="8" borderId="15" xfId="4" applyFill="1" applyBorder="1" applyAlignment="1">
      <alignment vertical="center"/>
    </xf>
    <xf numFmtId="165" fontId="4" fillId="8" borderId="15" xfId="4" applyNumberFormat="1" applyFont="1" applyFill="1" applyBorder="1" applyAlignment="1">
      <alignment vertical="center"/>
    </xf>
    <xf numFmtId="165" fontId="27" fillId="8" borderId="15" xfId="4" applyNumberFormat="1" applyFont="1" applyFill="1" applyBorder="1" applyAlignment="1">
      <alignment vertical="center"/>
    </xf>
    <xf numFmtId="165" fontId="3" fillId="0" borderId="0" xfId="1" applyNumberFormat="1" applyFont="1" applyBorder="1"/>
    <xf numFmtId="0" fontId="54" fillId="0" borderId="17" xfId="4" applyFont="1" applyBorder="1" applyAlignment="1">
      <alignment horizontal="center"/>
    </xf>
    <xf numFmtId="170" fontId="53" fillId="0" borderId="0" xfId="1" quotePrefix="1" applyNumberFormat="1" applyFont="1"/>
    <xf numFmtId="0" fontId="39" fillId="0" borderId="17" xfId="4" applyFont="1" applyBorder="1" applyAlignment="1">
      <alignment horizontal="center" vertical="center"/>
    </xf>
    <xf numFmtId="40" fontId="7" fillId="0" borderId="0" xfId="4" applyNumberFormat="1" applyFont="1"/>
    <xf numFmtId="164" fontId="7" fillId="0" borderId="0" xfId="4" applyNumberFormat="1" applyFont="1"/>
    <xf numFmtId="40" fontId="43" fillId="0" borderId="0" xfId="4" applyNumberFormat="1" applyFont="1"/>
    <xf numFmtId="166" fontId="4" fillId="8" borderId="15" xfId="4" applyNumberFormat="1" applyFont="1" applyFill="1" applyBorder="1" applyAlignment="1">
      <alignment vertical="center"/>
    </xf>
    <xf numFmtId="0" fontId="11" fillId="0" borderId="30" xfId="4" applyFont="1" applyBorder="1"/>
    <xf numFmtId="43" fontId="7" fillId="0" borderId="0" xfId="1" applyFont="1"/>
    <xf numFmtId="0" fontId="4" fillId="8" borderId="15" xfId="0" applyFont="1" applyFill="1" applyBorder="1"/>
    <xf numFmtId="0" fontId="4" fillId="8" borderId="42" xfId="0" applyFont="1" applyFill="1" applyBorder="1"/>
    <xf numFmtId="0" fontId="2" fillId="0" borderId="0" xfId="4" applyFont="1"/>
    <xf numFmtId="0" fontId="2" fillId="0" borderId="0" xfId="0" applyFont="1"/>
    <xf numFmtId="1" fontId="0" fillId="0" borderId="0" xfId="0" applyNumberFormat="1"/>
    <xf numFmtId="1" fontId="3" fillId="0" borderId="4" xfId="4" applyNumberFormat="1" applyBorder="1"/>
    <xf numFmtId="0" fontId="4" fillId="0" borderId="7" xfId="7" applyFont="1" applyBorder="1" applyAlignment="1">
      <alignment wrapText="1"/>
    </xf>
    <xf numFmtId="0" fontId="2" fillId="0" borderId="0" xfId="7"/>
    <xf numFmtId="0" fontId="2" fillId="0" borderId="0" xfId="4" applyFont="1" applyAlignment="1">
      <alignment horizontal="center"/>
    </xf>
    <xf numFmtId="0" fontId="3" fillId="15" borderId="0" xfId="4" applyFill="1"/>
    <xf numFmtId="0" fontId="2" fillId="0" borderId="0" xfId="4" applyFont="1" applyAlignment="1">
      <alignment horizontal="center" vertical="center"/>
    </xf>
    <xf numFmtId="0" fontId="2" fillId="15" borderId="0" xfId="4" applyFont="1" applyFill="1" applyAlignment="1">
      <alignment horizontal="center"/>
    </xf>
    <xf numFmtId="0" fontId="2" fillId="0" borderId="18" xfId="7" applyBorder="1"/>
    <xf numFmtId="0" fontId="2" fillId="0" borderId="38" xfId="7" applyBorder="1"/>
    <xf numFmtId="0" fontId="2" fillId="0" borderId="11" xfId="7" applyBorder="1"/>
    <xf numFmtId="0" fontId="2" fillId="0" borderId="7" xfId="7" applyBorder="1"/>
    <xf numFmtId="0" fontId="2" fillId="0" borderId="6" xfId="7" applyBorder="1"/>
    <xf numFmtId="0" fontId="4" fillId="0" borderId="7" xfId="7" applyFont="1" applyBorder="1"/>
    <xf numFmtId="172" fontId="4" fillId="0" borderId="7" xfId="7" applyNumberFormat="1" applyFont="1" applyBorder="1" applyAlignment="1">
      <alignment horizontal="left"/>
    </xf>
    <xf numFmtId="0" fontId="4" fillId="8" borderId="17" xfId="7" applyFont="1" applyFill="1" applyBorder="1" applyAlignment="1">
      <alignment horizontal="center" vertical="center"/>
    </xf>
    <xf numFmtId="165" fontId="2" fillId="0" borderId="0" xfId="7" applyNumberFormat="1"/>
    <xf numFmtId="165" fontId="2" fillId="0" borderId="6" xfId="7" applyNumberFormat="1" applyBorder="1"/>
    <xf numFmtId="165" fontId="4" fillId="0" borderId="6" xfId="7" applyNumberFormat="1" applyFont="1" applyBorder="1"/>
    <xf numFmtId="2" fontId="2" fillId="0" borderId="0" xfId="7" applyNumberFormat="1"/>
    <xf numFmtId="0" fontId="4" fillId="0" borderId="7" xfId="7" applyFont="1" applyBorder="1" applyAlignment="1">
      <alignment vertical="center" wrapText="1"/>
    </xf>
    <xf numFmtId="0" fontId="2" fillId="0" borderId="0" xfId="7" applyAlignment="1">
      <alignment vertical="center"/>
    </xf>
    <xf numFmtId="0" fontId="10" fillId="0" borderId="6" xfId="7" applyFont="1" applyBorder="1"/>
    <xf numFmtId="0" fontId="9" fillId="0" borderId="40" xfId="7" applyFont="1" applyBorder="1"/>
    <xf numFmtId="0" fontId="2" fillId="0" borderId="1" xfId="7" applyBorder="1"/>
    <xf numFmtId="165" fontId="2" fillId="0" borderId="1" xfId="7" applyNumberFormat="1" applyBorder="1"/>
    <xf numFmtId="165" fontId="2" fillId="0" borderId="41" xfId="7" applyNumberFormat="1" applyBorder="1"/>
    <xf numFmtId="0" fontId="4" fillId="0" borderId="4" xfId="0" applyFont="1" applyBorder="1"/>
    <xf numFmtId="0" fontId="55" fillId="0" borderId="4" xfId="0" applyFont="1" applyBorder="1"/>
    <xf numFmtId="0" fontId="9" fillId="0" borderId="42" xfId="7" applyFont="1" applyBorder="1"/>
    <xf numFmtId="169" fontId="2" fillId="0" borderId="0" xfId="1" applyNumberFormat="1" applyFont="1" applyFill="1" applyBorder="1"/>
    <xf numFmtId="0" fontId="10" fillId="0" borderId="7" xfId="7" applyFont="1" applyBorder="1"/>
    <xf numFmtId="0" fontId="10" fillId="0" borderId="0" xfId="7" applyFont="1"/>
    <xf numFmtId="165" fontId="10" fillId="0" borderId="0" xfId="7" applyNumberFormat="1" applyFont="1"/>
    <xf numFmtId="175" fontId="2" fillId="0" borderId="0" xfId="7" applyNumberFormat="1"/>
    <xf numFmtId="165" fontId="4" fillId="0" borderId="3" xfId="7" applyNumberFormat="1" applyFont="1" applyBorder="1"/>
    <xf numFmtId="2" fontId="4" fillId="0" borderId="3" xfId="7" applyNumberFormat="1" applyFont="1" applyBorder="1"/>
    <xf numFmtId="165" fontId="4" fillId="0" borderId="72" xfId="7" applyNumberFormat="1" applyFont="1" applyBorder="1"/>
    <xf numFmtId="0" fontId="0" fillId="0" borderId="64" xfId="0" applyBorder="1"/>
    <xf numFmtId="2" fontId="4" fillId="0" borderId="64" xfId="0" applyNumberFormat="1" applyFont="1" applyBorder="1"/>
    <xf numFmtId="0" fontId="0" fillId="0" borderId="71" xfId="0" applyBorder="1"/>
    <xf numFmtId="0" fontId="8" fillId="0" borderId="7" xfId="7" applyFont="1" applyBorder="1"/>
    <xf numFmtId="0" fontId="8" fillId="0" borderId="0" xfId="7" applyFont="1"/>
    <xf numFmtId="172" fontId="4" fillId="0" borderId="7" xfId="7" quotePrefix="1" applyNumberFormat="1" applyFont="1" applyBorder="1" applyAlignment="1">
      <alignment horizontal="left"/>
    </xf>
    <xf numFmtId="169" fontId="0" fillId="0" borderId="0" xfId="3" applyNumberFormat="1" applyFont="1" applyAlignment="1"/>
    <xf numFmtId="0" fontId="2" fillId="0" borderId="15" xfId="7" applyBorder="1"/>
    <xf numFmtId="0" fontId="58" fillId="0" borderId="6" xfId="7" applyFont="1" applyBorder="1"/>
    <xf numFmtId="0" fontId="10" fillId="0" borderId="0" xfId="7" applyFont="1" applyAlignment="1">
      <alignment horizontal="left"/>
    </xf>
    <xf numFmtId="165" fontId="2" fillId="0" borderId="0" xfId="7" applyNumberFormat="1" applyAlignment="1">
      <alignment horizontal="center"/>
    </xf>
    <xf numFmtId="0" fontId="2" fillId="0" borderId="0" xfId="7" applyAlignment="1">
      <alignment horizontal="left"/>
    </xf>
    <xf numFmtId="165" fontId="2" fillId="0" borderId="0" xfId="0" applyNumberFormat="1" applyFont="1"/>
    <xf numFmtId="165" fontId="56" fillId="0" borderId="0" xfId="7" applyNumberFormat="1" applyFont="1"/>
    <xf numFmtId="165" fontId="2" fillId="16" borderId="0" xfId="7" applyNumberFormat="1" applyFill="1"/>
    <xf numFmtId="165" fontId="56" fillId="16" borderId="0" xfId="7" applyNumberFormat="1" applyFont="1" applyFill="1"/>
    <xf numFmtId="0" fontId="2" fillId="16" borderId="0" xfId="7" applyFill="1"/>
    <xf numFmtId="2" fontId="2" fillId="16" borderId="0" xfId="7" applyNumberFormat="1" applyFill="1"/>
    <xf numFmtId="165" fontId="2" fillId="16" borderId="0" xfId="1" applyNumberFormat="1" applyFont="1" applyFill="1" applyBorder="1"/>
    <xf numFmtId="165" fontId="2" fillId="16" borderId="0" xfId="0" applyNumberFormat="1" applyFont="1" applyFill="1"/>
    <xf numFmtId="165" fontId="0" fillId="16" borderId="0" xfId="0" applyNumberFormat="1" applyFill="1"/>
    <xf numFmtId="165" fontId="2" fillId="16" borderId="1" xfId="7" applyNumberFormat="1" applyFill="1" applyBorder="1"/>
    <xf numFmtId="165" fontId="4" fillId="0" borderId="0" xfId="7" applyNumberFormat="1" applyFont="1" applyAlignment="1">
      <alignment horizontal="right"/>
    </xf>
    <xf numFmtId="165" fontId="2" fillId="0" borderId="0" xfId="13" applyNumberFormat="1" applyFont="1" applyFill="1" applyBorder="1"/>
    <xf numFmtId="0" fontId="2" fillId="0" borderId="0" xfId="7" applyAlignment="1">
      <alignment horizontal="center"/>
    </xf>
    <xf numFmtId="169" fontId="0" fillId="0" borderId="0" xfId="13" applyNumberFormat="1" applyFont="1" applyAlignment="1"/>
    <xf numFmtId="43" fontId="2" fillId="0" borderId="0" xfId="7" applyNumberFormat="1"/>
    <xf numFmtId="174" fontId="2" fillId="0" borderId="0" xfId="7" applyNumberFormat="1"/>
    <xf numFmtId="0" fontId="2" fillId="0" borderId="0" xfId="7" applyAlignment="1">
      <alignment horizontal="right"/>
    </xf>
    <xf numFmtId="43" fontId="2" fillId="0" borderId="0" xfId="7" applyNumberFormat="1" applyAlignment="1">
      <alignment horizontal="center"/>
    </xf>
    <xf numFmtId="9" fontId="2" fillId="0" borderId="0" xfId="7" applyNumberFormat="1"/>
    <xf numFmtId="169" fontId="2" fillId="0" borderId="0" xfId="7" applyNumberFormat="1"/>
    <xf numFmtId="0" fontId="4" fillId="0" borderId="0" xfId="7" applyFont="1"/>
    <xf numFmtId="165" fontId="4" fillId="0" borderId="0" xfId="7" applyNumberFormat="1" applyFont="1"/>
    <xf numFmtId="169" fontId="4" fillId="0" borderId="0" xfId="7" applyNumberFormat="1" applyFont="1"/>
    <xf numFmtId="169" fontId="2" fillId="0" borderId="0" xfId="13" applyNumberFormat="1" applyFont="1" applyFill="1" applyBorder="1"/>
    <xf numFmtId="2" fontId="2" fillId="0" borderId="0" xfId="13" applyNumberFormat="1" applyFont="1" applyFill="1" applyBorder="1"/>
    <xf numFmtId="176" fontId="2" fillId="0" borderId="0" xfId="7" applyNumberFormat="1"/>
    <xf numFmtId="165" fontId="2" fillId="0" borderId="1" xfId="13" applyNumberFormat="1" applyFont="1" applyFill="1" applyBorder="1"/>
    <xf numFmtId="165" fontId="4" fillId="0" borderId="0" xfId="7" applyNumberFormat="1" applyFont="1" applyAlignment="1">
      <alignment horizontal="center"/>
    </xf>
    <xf numFmtId="165" fontId="10" fillId="0" borderId="0" xfId="7" applyNumberFormat="1" applyFont="1" applyAlignment="1">
      <alignment horizontal="center"/>
    </xf>
    <xf numFmtId="0" fontId="10" fillId="0" borderId="0" xfId="7" applyFont="1" applyAlignment="1">
      <alignment horizontal="center"/>
    </xf>
    <xf numFmtId="169" fontId="10" fillId="0" borderId="0" xfId="13" applyNumberFormat="1" applyFont="1" applyAlignment="1"/>
    <xf numFmtId="43" fontId="10" fillId="0" borderId="0" xfId="7" applyNumberFormat="1" applyFont="1"/>
    <xf numFmtId="0" fontId="7" fillId="0" borderId="0" xfId="7" applyFont="1"/>
    <xf numFmtId="0" fontId="59" fillId="0" borderId="0" xfId="7" applyFont="1"/>
    <xf numFmtId="0" fontId="59" fillId="0" borderId="0" xfId="7" applyFont="1" applyAlignment="1">
      <alignment horizontal="center"/>
    </xf>
    <xf numFmtId="169" fontId="59" fillId="0" borderId="0" xfId="13" applyNumberFormat="1" applyFont="1" applyAlignment="1"/>
    <xf numFmtId="43" fontId="59" fillId="0" borderId="0" xfId="7" applyNumberFormat="1" applyFont="1"/>
    <xf numFmtId="165" fontId="60" fillId="0" borderId="0" xfId="7" applyNumberFormat="1" applyFont="1" applyAlignment="1">
      <alignment horizontal="center"/>
    </xf>
    <xf numFmtId="165" fontId="2" fillId="0" borderId="0" xfId="7" applyNumberFormat="1" applyAlignment="1">
      <alignment horizontal="right"/>
    </xf>
    <xf numFmtId="0" fontId="3" fillId="16" borderId="0" xfId="4" applyFill="1"/>
    <xf numFmtId="0" fontId="2" fillId="16" borderId="0" xfId="4" applyFont="1" applyFill="1"/>
    <xf numFmtId="0" fontId="3" fillId="16" borderId="0" xfId="4" applyFill="1" applyAlignment="1">
      <alignment horizontal="center"/>
    </xf>
    <xf numFmtId="169" fontId="0" fillId="16" borderId="0" xfId="3" applyNumberFormat="1" applyFont="1" applyFill="1" applyAlignment="1"/>
    <xf numFmtId="43" fontId="3" fillId="16" borderId="0" xfId="4" applyNumberFormat="1" applyFill="1"/>
    <xf numFmtId="0" fontId="2" fillId="16" borderId="18" xfId="7" applyFill="1" applyBorder="1"/>
    <xf numFmtId="0" fontId="2" fillId="16" borderId="38" xfId="7" applyFill="1" applyBorder="1"/>
    <xf numFmtId="0" fontId="2" fillId="16" borderId="11" xfId="7" applyFill="1" applyBorder="1"/>
    <xf numFmtId="0" fontId="2" fillId="16" borderId="0" xfId="7" applyFill="1" applyAlignment="1">
      <alignment horizontal="center"/>
    </xf>
    <xf numFmtId="169" fontId="0" fillId="16" borderId="0" xfId="13" applyNumberFormat="1" applyFont="1" applyFill="1" applyAlignment="1"/>
    <xf numFmtId="43" fontId="2" fillId="16" borderId="0" xfId="7" applyNumberFormat="1" applyFill="1"/>
    <xf numFmtId="0" fontId="2" fillId="16" borderId="7" xfId="7" applyFill="1" applyBorder="1"/>
    <xf numFmtId="0" fontId="2" fillId="16" borderId="6" xfId="7" applyFill="1" applyBorder="1"/>
    <xf numFmtId="0" fontId="4" fillId="16" borderId="7" xfId="7" applyFont="1" applyFill="1" applyBorder="1"/>
    <xf numFmtId="172" fontId="4" fillId="16" borderId="7" xfId="7" quotePrefix="1" applyNumberFormat="1" applyFont="1" applyFill="1" applyBorder="1" applyAlignment="1">
      <alignment horizontal="left"/>
    </xf>
    <xf numFmtId="172" fontId="4" fillId="16" borderId="7" xfId="7" applyNumberFormat="1" applyFont="1" applyFill="1" applyBorder="1" applyAlignment="1">
      <alignment horizontal="left"/>
    </xf>
    <xf numFmtId="175" fontId="2" fillId="16" borderId="0" xfId="7" applyNumberFormat="1" applyFill="1"/>
    <xf numFmtId="165" fontId="2" fillId="16" borderId="6" xfId="7" applyNumberFormat="1" applyFill="1" applyBorder="1"/>
    <xf numFmtId="174" fontId="2" fillId="16" borderId="0" xfId="7" applyNumberFormat="1" applyFill="1"/>
    <xf numFmtId="165" fontId="2" fillId="16" borderId="0" xfId="7" applyNumberFormat="1" applyFill="1" applyAlignment="1">
      <alignment horizontal="center"/>
    </xf>
    <xf numFmtId="0" fontId="2" fillId="16" borderId="0" xfId="7" applyFill="1" applyAlignment="1">
      <alignment horizontal="right"/>
    </xf>
    <xf numFmtId="43" fontId="2" fillId="16" borderId="0" xfId="7" applyNumberFormat="1" applyFill="1" applyAlignment="1">
      <alignment horizontal="center"/>
    </xf>
    <xf numFmtId="9" fontId="2" fillId="16" borderId="0" xfId="7" applyNumberFormat="1" applyFill="1"/>
    <xf numFmtId="169" fontId="2" fillId="16" borderId="0" xfId="7" applyNumberFormat="1" applyFill="1"/>
    <xf numFmtId="165" fontId="4" fillId="16" borderId="6" xfId="7" applyNumberFormat="1" applyFont="1" applyFill="1" applyBorder="1"/>
    <xf numFmtId="0" fontId="4" fillId="16" borderId="0" xfId="7" applyFont="1" applyFill="1"/>
    <xf numFmtId="165" fontId="4" fillId="16" borderId="0" xfId="7" applyNumberFormat="1" applyFont="1" applyFill="1"/>
    <xf numFmtId="169" fontId="4" fillId="16" borderId="0" xfId="7" applyNumberFormat="1" applyFont="1" applyFill="1"/>
    <xf numFmtId="169" fontId="2" fillId="16" borderId="0" xfId="13" applyNumberFormat="1" applyFont="1" applyFill="1" applyBorder="1"/>
    <xf numFmtId="165" fontId="2" fillId="16" borderId="0" xfId="13" applyNumberFormat="1" applyFont="1" applyFill="1" applyBorder="1"/>
    <xf numFmtId="2" fontId="2" fillId="16" borderId="0" xfId="13" applyNumberFormat="1" applyFont="1" applyFill="1" applyBorder="1"/>
    <xf numFmtId="0" fontId="4" fillId="16" borderId="7" xfId="7" applyFont="1" applyFill="1" applyBorder="1" applyAlignment="1">
      <alignment vertical="center" wrapText="1"/>
    </xf>
    <xf numFmtId="0" fontId="2" fillId="16" borderId="0" xfId="7" applyFill="1" applyAlignment="1">
      <alignment vertical="center"/>
    </xf>
    <xf numFmtId="0" fontId="0" fillId="16" borderId="0" xfId="0" applyFill="1"/>
    <xf numFmtId="165" fontId="0" fillId="16" borderId="0" xfId="1" applyNumberFormat="1" applyFont="1" applyFill="1" applyBorder="1"/>
    <xf numFmtId="0" fontId="4" fillId="16" borderId="7" xfId="7" applyFont="1" applyFill="1" applyBorder="1" applyAlignment="1">
      <alignment wrapText="1"/>
    </xf>
    <xf numFmtId="0" fontId="2" fillId="16" borderId="0" xfId="0" applyFont="1" applyFill="1"/>
    <xf numFmtId="0" fontId="10" fillId="16" borderId="6" xfId="7" applyFont="1" applyFill="1" applyBorder="1"/>
    <xf numFmtId="176" fontId="2" fillId="16" borderId="0" xfId="7" applyNumberFormat="1" applyFill="1"/>
    <xf numFmtId="0" fontId="2" fillId="16" borderId="0" xfId="7" applyFill="1" applyAlignment="1">
      <alignment horizontal="left"/>
    </xf>
    <xf numFmtId="165" fontId="2" fillId="16" borderId="0" xfId="7" applyNumberFormat="1" applyFill="1" applyAlignment="1">
      <alignment horizontal="right"/>
    </xf>
    <xf numFmtId="0" fontId="9" fillId="16" borderId="40" xfId="7" applyFont="1" applyFill="1" applyBorder="1"/>
    <xf numFmtId="0" fontId="2" fillId="16" borderId="1" xfId="7" applyFill="1" applyBorder="1"/>
    <xf numFmtId="165" fontId="2" fillId="16" borderId="1" xfId="13" applyNumberFormat="1" applyFont="1" applyFill="1" applyBorder="1"/>
    <xf numFmtId="165" fontId="2" fillId="16" borderId="41" xfId="7" applyNumberFormat="1" applyFill="1" applyBorder="1"/>
    <xf numFmtId="0" fontId="4" fillId="16" borderId="4" xfId="0" applyFont="1" applyFill="1" applyBorder="1"/>
    <xf numFmtId="165" fontId="4" fillId="16" borderId="0" xfId="7" applyNumberFormat="1" applyFont="1" applyFill="1" applyAlignment="1">
      <alignment horizontal="right"/>
    </xf>
    <xf numFmtId="0" fontId="55" fillId="16" borderId="4" xfId="0" applyFont="1" applyFill="1" applyBorder="1"/>
    <xf numFmtId="165" fontId="4" fillId="16" borderId="0" xfId="7" applyNumberFormat="1" applyFont="1" applyFill="1" applyAlignment="1">
      <alignment horizontal="center"/>
    </xf>
    <xf numFmtId="0" fontId="0" fillId="16" borderId="7" xfId="0" applyFill="1" applyBorder="1"/>
    <xf numFmtId="0" fontId="0" fillId="16" borderId="64" xfId="0" applyFill="1" applyBorder="1"/>
    <xf numFmtId="2" fontId="4" fillId="16" borderId="64" xfId="0" applyNumberFormat="1" applyFont="1" applyFill="1" applyBorder="1"/>
    <xf numFmtId="0" fontId="0" fillId="16" borderId="71" xfId="0" applyFill="1" applyBorder="1"/>
    <xf numFmtId="0" fontId="9" fillId="16" borderId="42" xfId="7" applyFont="1" applyFill="1" applyBorder="1"/>
    <xf numFmtId="0" fontId="2" fillId="16" borderId="15" xfId="7" applyFill="1" applyBorder="1"/>
    <xf numFmtId="165" fontId="4" fillId="16" borderId="3" xfId="7" applyNumberFormat="1" applyFont="1" applyFill="1" applyBorder="1"/>
    <xf numFmtId="2" fontId="4" fillId="16" borderId="3" xfId="7" applyNumberFormat="1" applyFont="1" applyFill="1" applyBorder="1"/>
    <xf numFmtId="165" fontId="4" fillId="16" borderId="72" xfId="7" applyNumberFormat="1" applyFont="1" applyFill="1" applyBorder="1"/>
    <xf numFmtId="169" fontId="2" fillId="16" borderId="0" xfId="1" applyNumberFormat="1" applyFont="1" applyFill="1" applyBorder="1"/>
    <xf numFmtId="165" fontId="60" fillId="16" borderId="0" xfId="7" applyNumberFormat="1" applyFont="1" applyFill="1" applyAlignment="1">
      <alignment horizontal="center"/>
    </xf>
    <xf numFmtId="0" fontId="10" fillId="16" borderId="7" xfId="7" applyFont="1" applyFill="1" applyBorder="1"/>
    <xf numFmtId="0" fontId="10" fillId="16" borderId="0" xfId="7" applyFont="1" applyFill="1"/>
    <xf numFmtId="0" fontId="10" fillId="16" borderId="0" xfId="7" applyFont="1" applyFill="1" applyAlignment="1">
      <alignment horizontal="left"/>
    </xf>
    <xf numFmtId="165" fontId="10" fillId="16" borderId="0" xfId="7" applyNumberFormat="1" applyFont="1" applyFill="1"/>
    <xf numFmtId="165" fontId="10" fillId="16" borderId="0" xfId="7" applyNumberFormat="1" applyFont="1" applyFill="1" applyAlignment="1">
      <alignment horizontal="center"/>
    </xf>
    <xf numFmtId="0" fontId="10" fillId="16" borderId="0" xfId="7" applyFont="1" applyFill="1" applyAlignment="1">
      <alignment horizontal="center"/>
    </xf>
    <xf numFmtId="169" fontId="10" fillId="16" borderId="0" xfId="13" applyNumberFormat="1" applyFont="1" applyFill="1" applyAlignment="1"/>
    <xf numFmtId="43" fontId="10" fillId="16" borderId="0" xfId="7" applyNumberFormat="1" applyFont="1" applyFill="1"/>
    <xf numFmtId="0" fontId="8" fillId="16" borderId="7" xfId="7" applyFont="1" applyFill="1" applyBorder="1"/>
    <xf numFmtId="0" fontId="7" fillId="16" borderId="0" xfId="7" applyFont="1" applyFill="1"/>
    <xf numFmtId="0" fontId="8" fillId="16" borderId="0" xfId="7" applyFont="1" applyFill="1"/>
    <xf numFmtId="0" fontId="58" fillId="16" borderId="6" xfId="7" applyFont="1" applyFill="1" applyBorder="1"/>
    <xf numFmtId="0" fontId="59" fillId="16" borderId="0" xfId="7" applyFont="1" applyFill="1"/>
    <xf numFmtId="0" fontId="59" fillId="16" borderId="0" xfId="7" applyFont="1" applyFill="1" applyAlignment="1">
      <alignment horizontal="center"/>
    </xf>
    <xf numFmtId="169" fontId="59" fillId="16" borderId="0" xfId="13" applyNumberFormat="1" applyFont="1" applyFill="1" applyAlignment="1"/>
    <xf numFmtId="43" fontId="59" fillId="16" borderId="0" xfId="7" applyNumberFormat="1" applyFont="1" applyFill="1"/>
    <xf numFmtId="165" fontId="59" fillId="16" borderId="0" xfId="7" applyNumberFormat="1" applyFont="1" applyFill="1" applyAlignment="1">
      <alignment horizontal="center"/>
    </xf>
    <xf numFmtId="177" fontId="2" fillId="16" borderId="0" xfId="7" applyNumberFormat="1" applyFill="1" applyAlignment="1">
      <alignment horizontal="center"/>
    </xf>
    <xf numFmtId="0" fontId="4" fillId="17" borderId="42" xfId="0" applyFont="1" applyFill="1" applyBorder="1"/>
    <xf numFmtId="0" fontId="4" fillId="17" borderId="17" xfId="7" applyFont="1" applyFill="1" applyBorder="1" applyAlignment="1">
      <alignment horizontal="center" vertical="center"/>
    </xf>
    <xf numFmtId="0" fontId="61" fillId="16" borderId="0" xfId="0" applyFont="1" applyFill="1"/>
    <xf numFmtId="0" fontId="62" fillId="16" borderId="0" xfId="0" applyFont="1" applyFill="1" applyAlignment="1">
      <alignment horizontal="left"/>
    </xf>
    <xf numFmtId="0" fontId="62" fillId="16" borderId="0" xfId="0" applyFont="1" applyFill="1" applyAlignment="1">
      <alignment horizontal="center"/>
    </xf>
    <xf numFmtId="169" fontId="62" fillId="16" borderId="0" xfId="1" applyNumberFormat="1" applyFont="1" applyFill="1" applyAlignment="1">
      <alignment horizontal="center"/>
    </xf>
    <xf numFmtId="169" fontId="61" fillId="16" borderId="0" xfId="1" applyNumberFormat="1" applyFont="1" applyFill="1"/>
    <xf numFmtId="0" fontId="64" fillId="19" borderId="0" xfId="0" applyFont="1" applyFill="1"/>
    <xf numFmtId="169" fontId="65" fillId="19" borderId="0" xfId="1" applyNumberFormat="1" applyFont="1" applyFill="1" applyBorder="1"/>
    <xf numFmtId="0" fontId="64" fillId="21" borderId="0" xfId="0" applyFont="1" applyFill="1"/>
    <xf numFmtId="169" fontId="65" fillId="21" borderId="0" xfId="1" applyNumberFormat="1" applyFont="1" applyFill="1" applyBorder="1"/>
    <xf numFmtId="0" fontId="64" fillId="18" borderId="0" xfId="0" applyFont="1" applyFill="1"/>
    <xf numFmtId="169" fontId="65" fillId="18" borderId="0" xfId="1" applyNumberFormat="1" applyFont="1" applyFill="1" applyBorder="1"/>
    <xf numFmtId="169" fontId="61" fillId="16" borderId="0" xfId="1" applyNumberFormat="1" applyFont="1" applyFill="1" applyBorder="1"/>
    <xf numFmtId="0" fontId="63" fillId="20" borderId="0" xfId="0" applyFont="1" applyFill="1" applyAlignment="1">
      <alignment horizontal="left"/>
    </xf>
    <xf numFmtId="169" fontId="63" fillId="20" borderId="0" xfId="1" applyNumberFormat="1" applyFont="1" applyFill="1" applyBorder="1" applyAlignment="1">
      <alignment horizontal="center"/>
    </xf>
    <xf numFmtId="169" fontId="2" fillId="0" borderId="0" xfId="1" applyNumberFormat="1" applyFont="1" applyAlignment="1">
      <alignment horizontal="center"/>
    </xf>
    <xf numFmtId="165" fontId="59" fillId="0" borderId="0" xfId="7" applyNumberFormat="1" applyFont="1" applyAlignment="1">
      <alignment horizontal="center"/>
    </xf>
    <xf numFmtId="177" fontId="2" fillId="0" borderId="0" xfId="7" applyNumberFormat="1" applyAlignment="1">
      <alignment horizontal="center"/>
    </xf>
    <xf numFmtId="172" fontId="4" fillId="6" borderId="19" xfId="4" applyNumberFormat="1" applyFont="1" applyFill="1" applyBorder="1" applyAlignment="1">
      <alignment horizontal="center"/>
    </xf>
    <xf numFmtId="172" fontId="4" fillId="6" borderId="5" xfId="4" applyNumberFormat="1" applyFont="1" applyFill="1" applyBorder="1" applyAlignment="1">
      <alignment horizontal="center"/>
    </xf>
    <xf numFmtId="0" fontId="4" fillId="6" borderId="30" xfId="4" applyFont="1" applyFill="1" applyBorder="1" applyAlignment="1">
      <alignment horizontal="center" vertical="center"/>
    </xf>
    <xf numFmtId="0" fontId="4" fillId="6" borderId="16" xfId="4" applyFont="1" applyFill="1" applyBorder="1" applyAlignment="1">
      <alignment horizontal="center" vertical="center"/>
    </xf>
    <xf numFmtId="0" fontId="4" fillId="6" borderId="20" xfId="4" applyFont="1" applyFill="1" applyBorder="1" applyAlignment="1">
      <alignment horizontal="center" vertical="center"/>
    </xf>
    <xf numFmtId="0" fontId="4" fillId="6" borderId="64" xfId="4" applyFont="1" applyFill="1" applyBorder="1" applyAlignment="1">
      <alignment horizontal="center"/>
    </xf>
    <xf numFmtId="0" fontId="4" fillId="6" borderId="65" xfId="4" applyFont="1" applyFill="1" applyBorder="1" applyAlignment="1">
      <alignment horizontal="center"/>
    </xf>
    <xf numFmtId="0" fontId="4" fillId="6" borderId="66" xfId="4" applyFont="1" applyFill="1" applyBorder="1" applyAlignment="1">
      <alignment horizontal="center"/>
    </xf>
    <xf numFmtId="0" fontId="4" fillId="6" borderId="30" xfId="4" applyFont="1" applyFill="1" applyBorder="1" applyAlignment="1">
      <alignment horizontal="center"/>
    </xf>
    <xf numFmtId="0" fontId="4" fillId="6" borderId="16" xfId="4" applyFont="1" applyFill="1" applyBorder="1" applyAlignment="1">
      <alignment horizontal="center"/>
    </xf>
    <xf numFmtId="172" fontId="4" fillId="2" borderId="19" xfId="4" applyNumberFormat="1" applyFont="1" applyFill="1" applyBorder="1" applyAlignment="1">
      <alignment horizontal="center"/>
    </xf>
    <xf numFmtId="172" fontId="4" fillId="2" borderId="5" xfId="4" applyNumberFormat="1" applyFont="1" applyFill="1" applyBorder="1" applyAlignment="1">
      <alignment horizontal="center"/>
    </xf>
    <xf numFmtId="0" fontId="4" fillId="2" borderId="30" xfId="4" applyFont="1" applyFill="1" applyBorder="1" applyAlignment="1">
      <alignment horizontal="center" vertical="center"/>
    </xf>
    <xf numFmtId="0" fontId="4" fillId="2" borderId="16" xfId="4" applyFont="1" applyFill="1" applyBorder="1" applyAlignment="1">
      <alignment horizontal="center" vertical="center"/>
    </xf>
    <xf numFmtId="0" fontId="4" fillId="2" borderId="20" xfId="4" applyFont="1" applyFill="1" applyBorder="1" applyAlignment="1">
      <alignment horizontal="center" vertical="center"/>
    </xf>
    <xf numFmtId="0" fontId="4" fillId="2" borderId="64" xfId="4" applyFont="1" applyFill="1" applyBorder="1" applyAlignment="1">
      <alignment horizontal="center"/>
    </xf>
    <xf numFmtId="0" fontId="4" fillId="2" borderId="65" xfId="4" applyFont="1" applyFill="1" applyBorder="1" applyAlignment="1">
      <alignment horizontal="center"/>
    </xf>
    <xf numFmtId="0" fontId="4" fillId="2" borderId="66" xfId="4" applyFont="1" applyFill="1" applyBorder="1" applyAlignment="1">
      <alignment horizontal="center"/>
    </xf>
    <xf numFmtId="0" fontId="4" fillId="2" borderId="30" xfId="4" applyFont="1" applyFill="1" applyBorder="1" applyAlignment="1">
      <alignment horizontal="center"/>
    </xf>
    <xf numFmtId="0" fontId="4" fillId="2" borderId="16" xfId="4" applyFont="1" applyFill="1" applyBorder="1" applyAlignment="1">
      <alignment horizontal="center"/>
    </xf>
    <xf numFmtId="172" fontId="4" fillId="5" borderId="19" xfId="4" applyNumberFormat="1" applyFont="1" applyFill="1" applyBorder="1" applyAlignment="1">
      <alignment horizontal="center"/>
    </xf>
    <xf numFmtId="172" fontId="4" fillId="5" borderId="5" xfId="4" applyNumberFormat="1" applyFont="1" applyFill="1" applyBorder="1" applyAlignment="1">
      <alignment horizontal="center"/>
    </xf>
    <xf numFmtId="0" fontId="4" fillId="5" borderId="30" xfId="4" applyFont="1" applyFill="1" applyBorder="1" applyAlignment="1">
      <alignment horizontal="center" vertical="center"/>
    </xf>
    <xf numFmtId="0" fontId="4" fillId="5" borderId="16" xfId="4" applyFont="1" applyFill="1" applyBorder="1" applyAlignment="1">
      <alignment horizontal="center" vertical="center"/>
    </xf>
    <xf numFmtId="0" fontId="4" fillId="5" borderId="20" xfId="4" applyFont="1" applyFill="1" applyBorder="1" applyAlignment="1">
      <alignment horizontal="center" vertical="center"/>
    </xf>
    <xf numFmtId="0" fontId="4" fillId="5" borderId="64" xfId="4" applyFont="1" applyFill="1" applyBorder="1" applyAlignment="1">
      <alignment horizontal="center"/>
    </xf>
    <xf numFmtId="0" fontId="4" fillId="5" borderId="65" xfId="4" applyFont="1" applyFill="1" applyBorder="1" applyAlignment="1">
      <alignment horizontal="center"/>
    </xf>
    <xf numFmtId="0" fontId="4" fillId="5" borderId="66" xfId="4" applyFont="1" applyFill="1" applyBorder="1" applyAlignment="1">
      <alignment horizontal="center"/>
    </xf>
    <xf numFmtId="0" fontId="4" fillId="5" borderId="30" xfId="4" applyFont="1" applyFill="1" applyBorder="1" applyAlignment="1">
      <alignment horizontal="center"/>
    </xf>
    <xf numFmtId="0" fontId="4" fillId="5" borderId="16" xfId="4" applyFont="1" applyFill="1" applyBorder="1" applyAlignment="1">
      <alignment horizontal="center"/>
    </xf>
    <xf numFmtId="172" fontId="4" fillId="8" borderId="19" xfId="4" applyNumberFormat="1" applyFont="1" applyFill="1" applyBorder="1" applyAlignment="1">
      <alignment horizontal="center"/>
    </xf>
    <xf numFmtId="172" fontId="4" fillId="8" borderId="5" xfId="4" applyNumberFormat="1" applyFont="1" applyFill="1" applyBorder="1" applyAlignment="1">
      <alignment horizontal="center"/>
    </xf>
    <xf numFmtId="0" fontId="4" fillId="8" borderId="30" xfId="4" applyFont="1" applyFill="1" applyBorder="1" applyAlignment="1">
      <alignment horizontal="center" vertical="center"/>
    </xf>
    <xf numFmtId="0" fontId="4" fillId="8" borderId="16" xfId="4" applyFont="1" applyFill="1" applyBorder="1" applyAlignment="1">
      <alignment horizontal="center" vertical="center"/>
    </xf>
    <xf numFmtId="0" fontId="4" fillId="8" borderId="20" xfId="4" applyFont="1" applyFill="1" applyBorder="1" applyAlignment="1">
      <alignment horizontal="center" vertical="center"/>
    </xf>
    <xf numFmtId="0" fontId="4" fillId="8" borderId="64" xfId="4" applyFont="1" applyFill="1" applyBorder="1" applyAlignment="1">
      <alignment horizontal="center"/>
    </xf>
    <xf numFmtId="0" fontId="4" fillId="8" borderId="65" xfId="4" applyFont="1" applyFill="1" applyBorder="1" applyAlignment="1">
      <alignment horizontal="center"/>
    </xf>
    <xf numFmtId="0" fontId="4" fillId="8" borderId="66" xfId="4" applyFont="1" applyFill="1" applyBorder="1" applyAlignment="1">
      <alignment horizontal="center"/>
    </xf>
    <xf numFmtId="0" fontId="4" fillId="8" borderId="30" xfId="4" applyFont="1" applyFill="1" applyBorder="1" applyAlignment="1">
      <alignment horizontal="center"/>
    </xf>
    <xf numFmtId="0" fontId="4" fillId="8" borderId="16" xfId="4" applyFont="1" applyFill="1" applyBorder="1" applyAlignment="1">
      <alignment horizontal="center"/>
    </xf>
    <xf numFmtId="172" fontId="4" fillId="9" borderId="19" xfId="4" applyNumberFormat="1" applyFont="1" applyFill="1" applyBorder="1" applyAlignment="1">
      <alignment horizontal="center"/>
    </xf>
    <xf numFmtId="172" fontId="4" fillId="9" borderId="5" xfId="4" applyNumberFormat="1" applyFont="1" applyFill="1" applyBorder="1" applyAlignment="1">
      <alignment horizontal="center"/>
    </xf>
    <xf numFmtId="0" fontId="4" fillId="9" borderId="30" xfId="4" applyFont="1" applyFill="1" applyBorder="1" applyAlignment="1">
      <alignment horizontal="center" vertical="center"/>
    </xf>
    <xf numFmtId="0" fontId="4" fillId="9" borderId="16" xfId="4" applyFont="1" applyFill="1" applyBorder="1" applyAlignment="1">
      <alignment horizontal="center" vertical="center"/>
    </xf>
    <xf numFmtId="0" fontId="4" fillId="9" borderId="20" xfId="4" applyFont="1" applyFill="1" applyBorder="1" applyAlignment="1">
      <alignment horizontal="center" vertical="center"/>
    </xf>
    <xf numFmtId="0" fontId="4" fillId="9" borderId="64" xfId="4" applyFont="1" applyFill="1" applyBorder="1" applyAlignment="1">
      <alignment horizontal="center"/>
    </xf>
    <xf numFmtId="0" fontId="4" fillId="9" borderId="65" xfId="4" applyFont="1" applyFill="1" applyBorder="1" applyAlignment="1">
      <alignment horizontal="center"/>
    </xf>
    <xf numFmtId="0" fontId="4" fillId="9" borderId="66" xfId="4" applyFont="1" applyFill="1" applyBorder="1" applyAlignment="1">
      <alignment horizontal="center"/>
    </xf>
    <xf numFmtId="0" fontId="4" fillId="9" borderId="30" xfId="4" applyFont="1" applyFill="1" applyBorder="1" applyAlignment="1">
      <alignment horizontal="center"/>
    </xf>
    <xf numFmtId="0" fontId="4" fillId="9" borderId="16" xfId="4" applyFont="1" applyFill="1" applyBorder="1" applyAlignment="1">
      <alignment horizontal="center"/>
    </xf>
    <xf numFmtId="172" fontId="4" fillId="4" borderId="19" xfId="4" applyNumberFormat="1" applyFont="1" applyFill="1" applyBorder="1" applyAlignment="1">
      <alignment horizontal="center"/>
    </xf>
    <xf numFmtId="172" fontId="4" fillId="4" borderId="5" xfId="4" applyNumberFormat="1" applyFont="1" applyFill="1" applyBorder="1" applyAlignment="1">
      <alignment horizontal="center"/>
    </xf>
    <xf numFmtId="0" fontId="4" fillId="4" borderId="30" xfId="4" applyFont="1" applyFill="1" applyBorder="1" applyAlignment="1">
      <alignment horizontal="center" vertical="center"/>
    </xf>
    <xf numFmtId="0" fontId="4" fillId="4" borderId="16" xfId="4" applyFont="1" applyFill="1" applyBorder="1" applyAlignment="1">
      <alignment horizontal="center" vertical="center"/>
    </xf>
    <xf numFmtId="0" fontId="4" fillId="4" borderId="20" xfId="4" applyFont="1" applyFill="1" applyBorder="1" applyAlignment="1">
      <alignment horizontal="center" vertical="center"/>
    </xf>
    <xf numFmtId="0" fontId="4" fillId="4" borderId="64" xfId="4" applyFont="1" applyFill="1" applyBorder="1" applyAlignment="1">
      <alignment horizontal="center"/>
    </xf>
    <xf numFmtId="0" fontId="4" fillId="4" borderId="65" xfId="4" applyFont="1" applyFill="1" applyBorder="1" applyAlignment="1">
      <alignment horizontal="center"/>
    </xf>
    <xf numFmtId="0" fontId="4" fillId="4" borderId="66" xfId="4" applyFont="1" applyFill="1" applyBorder="1" applyAlignment="1">
      <alignment horizontal="center"/>
    </xf>
    <xf numFmtId="0" fontId="4" fillId="4" borderId="30" xfId="4" applyFont="1" applyFill="1" applyBorder="1" applyAlignment="1">
      <alignment horizontal="center"/>
    </xf>
    <xf numFmtId="0" fontId="4" fillId="4" borderId="16" xfId="4" applyFont="1" applyFill="1" applyBorder="1" applyAlignment="1">
      <alignment horizontal="center"/>
    </xf>
    <xf numFmtId="172" fontId="4" fillId="11" borderId="58" xfId="4" applyNumberFormat="1" applyFont="1" applyFill="1" applyBorder="1" applyAlignment="1">
      <alignment horizontal="center"/>
    </xf>
    <xf numFmtId="172" fontId="4" fillId="11" borderId="5" xfId="4" applyNumberFormat="1" applyFont="1" applyFill="1" applyBorder="1" applyAlignment="1">
      <alignment horizontal="center"/>
    </xf>
    <xf numFmtId="0" fontId="4" fillId="11" borderId="30" xfId="4" applyFont="1" applyFill="1" applyBorder="1" applyAlignment="1">
      <alignment horizontal="center" vertical="center"/>
    </xf>
    <xf numFmtId="0" fontId="4" fillId="11" borderId="16" xfId="4" applyFont="1" applyFill="1" applyBorder="1" applyAlignment="1">
      <alignment horizontal="center" vertical="center"/>
    </xf>
    <xf numFmtId="0" fontId="4" fillId="11" borderId="20" xfId="4" applyFont="1" applyFill="1" applyBorder="1" applyAlignment="1">
      <alignment horizontal="center" vertical="center"/>
    </xf>
    <xf numFmtId="0" fontId="4" fillId="11" borderId="44" xfId="4" applyFont="1" applyFill="1" applyBorder="1" applyAlignment="1">
      <alignment horizontal="center" vertical="center"/>
    </xf>
    <xf numFmtId="172" fontId="4" fillId="5" borderId="58" xfId="4" applyNumberFormat="1" applyFont="1" applyFill="1" applyBorder="1" applyAlignment="1">
      <alignment horizontal="center"/>
    </xf>
    <xf numFmtId="0" fontId="4" fillId="5" borderId="44" xfId="4" applyFont="1" applyFill="1" applyBorder="1" applyAlignment="1">
      <alignment horizontal="center" vertical="center"/>
    </xf>
    <xf numFmtId="172" fontId="4" fillId="14" borderId="58" xfId="4" applyNumberFormat="1" applyFont="1" applyFill="1" applyBorder="1" applyAlignment="1">
      <alignment horizontal="center"/>
    </xf>
    <xf numFmtId="172" fontId="4" fillId="14" borderId="5" xfId="4" applyNumberFormat="1" applyFont="1" applyFill="1" applyBorder="1" applyAlignment="1">
      <alignment horizontal="center"/>
    </xf>
    <xf numFmtId="0" fontId="4" fillId="14" borderId="30" xfId="4" applyFont="1" applyFill="1" applyBorder="1" applyAlignment="1">
      <alignment horizontal="center" vertical="center"/>
    </xf>
    <xf numFmtId="0" fontId="4" fillId="14" borderId="16" xfId="4" applyFont="1" applyFill="1" applyBorder="1" applyAlignment="1">
      <alignment horizontal="center" vertical="center"/>
    </xf>
    <xf numFmtId="0" fontId="4" fillId="14" borderId="20" xfId="4" applyFont="1" applyFill="1" applyBorder="1" applyAlignment="1">
      <alignment horizontal="center" vertical="center"/>
    </xf>
    <xf numFmtId="0" fontId="4" fillId="14" borderId="44" xfId="4" applyFont="1" applyFill="1" applyBorder="1" applyAlignment="1">
      <alignment horizontal="center" vertical="center"/>
    </xf>
    <xf numFmtId="172" fontId="4" fillId="10" borderId="58" xfId="4" applyNumberFormat="1" applyFont="1" applyFill="1" applyBorder="1" applyAlignment="1">
      <alignment horizontal="center"/>
    </xf>
    <xf numFmtId="172" fontId="4" fillId="10" borderId="5" xfId="4" applyNumberFormat="1" applyFont="1" applyFill="1" applyBorder="1" applyAlignment="1">
      <alignment horizontal="center"/>
    </xf>
    <xf numFmtId="0" fontId="4" fillId="10" borderId="30" xfId="4" applyFont="1" applyFill="1" applyBorder="1" applyAlignment="1">
      <alignment horizontal="center" vertical="center"/>
    </xf>
    <xf numFmtId="0" fontId="4" fillId="10" borderId="16" xfId="4" applyFont="1" applyFill="1" applyBorder="1" applyAlignment="1">
      <alignment horizontal="center" vertical="center"/>
    </xf>
    <xf numFmtId="0" fontId="4" fillId="10" borderId="20" xfId="4" applyFont="1" applyFill="1" applyBorder="1" applyAlignment="1">
      <alignment horizontal="center" vertical="center"/>
    </xf>
    <xf numFmtId="0" fontId="4" fillId="10" borderId="44" xfId="4" applyFont="1" applyFill="1" applyBorder="1" applyAlignment="1">
      <alignment horizontal="center" vertical="center"/>
    </xf>
    <xf numFmtId="172" fontId="4" fillId="0" borderId="58" xfId="4" applyNumberFormat="1" applyFont="1" applyBorder="1" applyAlignment="1">
      <alignment horizontal="center"/>
    </xf>
    <xf numFmtId="172" fontId="4" fillId="0" borderId="5" xfId="4" applyNumberFormat="1" applyFont="1" applyBorder="1" applyAlignment="1">
      <alignment horizontal="center"/>
    </xf>
    <xf numFmtId="0" fontId="4" fillId="0" borderId="30" xfId="4" applyFont="1" applyBorder="1" applyAlignment="1">
      <alignment horizontal="center" vertical="center"/>
    </xf>
    <xf numFmtId="0" fontId="4" fillId="0" borderId="16" xfId="4" applyFont="1" applyBorder="1" applyAlignment="1">
      <alignment horizontal="center" vertical="center"/>
    </xf>
    <xf numFmtId="0" fontId="4" fillId="0" borderId="20" xfId="4" applyFont="1" applyBorder="1" applyAlignment="1">
      <alignment horizontal="center" vertical="center"/>
    </xf>
    <xf numFmtId="0" fontId="4" fillId="0" borderId="44" xfId="4" applyFont="1" applyBorder="1" applyAlignment="1">
      <alignment horizontal="center" vertical="center"/>
    </xf>
    <xf numFmtId="172" fontId="4" fillId="3" borderId="58" xfId="4" applyNumberFormat="1" applyFont="1" applyFill="1" applyBorder="1" applyAlignment="1">
      <alignment horizontal="center"/>
    </xf>
    <xf numFmtId="172" fontId="4" fillId="3" borderId="5" xfId="4" applyNumberFormat="1" applyFont="1" applyFill="1" applyBorder="1" applyAlignment="1">
      <alignment horizontal="center"/>
    </xf>
    <xf numFmtId="0" fontId="4" fillId="3" borderId="30" xfId="4" applyFont="1" applyFill="1" applyBorder="1" applyAlignment="1">
      <alignment horizontal="center" vertical="center"/>
    </xf>
    <xf numFmtId="0" fontId="4" fillId="3" borderId="16" xfId="4" applyFont="1" applyFill="1" applyBorder="1" applyAlignment="1">
      <alignment horizontal="center" vertical="center"/>
    </xf>
    <xf numFmtId="0" fontId="4" fillId="3" borderId="20" xfId="4" applyFont="1" applyFill="1" applyBorder="1" applyAlignment="1">
      <alignment horizontal="center" vertical="center"/>
    </xf>
    <xf numFmtId="0" fontId="4" fillId="3" borderId="44" xfId="4" applyFont="1" applyFill="1" applyBorder="1" applyAlignment="1">
      <alignment horizontal="center" vertical="center"/>
    </xf>
    <xf numFmtId="172" fontId="4" fillId="8" borderId="63" xfId="7" applyNumberFormat="1" applyFont="1" applyFill="1" applyBorder="1" applyAlignment="1">
      <alignment horizontal="center" vertical="center"/>
    </xf>
    <xf numFmtId="172" fontId="4" fillId="8" borderId="20" xfId="7" applyNumberFormat="1" applyFont="1" applyFill="1" applyBorder="1" applyAlignment="1">
      <alignment horizontal="center" vertical="center"/>
    </xf>
    <xf numFmtId="0" fontId="4" fillId="8" borderId="30" xfId="7" applyFont="1" applyFill="1" applyBorder="1" applyAlignment="1">
      <alignment horizontal="center" vertical="center"/>
    </xf>
    <xf numFmtId="0" fontId="4" fillId="8" borderId="16" xfId="7" applyFont="1" applyFill="1" applyBorder="1" applyAlignment="1">
      <alignment horizontal="center" vertical="center"/>
    </xf>
    <xf numFmtId="0" fontId="4" fillId="8" borderId="20" xfId="7" applyFont="1" applyFill="1" applyBorder="1" applyAlignment="1">
      <alignment horizontal="center" vertical="center"/>
    </xf>
    <xf numFmtId="0" fontId="4" fillId="8" borderId="44" xfId="7" applyFont="1" applyFill="1" applyBorder="1" applyAlignment="1">
      <alignment horizontal="center" vertical="center"/>
    </xf>
    <xf numFmtId="0" fontId="10" fillId="0" borderId="8" xfId="7" applyFont="1" applyBorder="1" applyAlignment="1">
      <alignment horizontal="center"/>
    </xf>
    <xf numFmtId="0" fontId="10" fillId="0" borderId="9" xfId="7" applyFont="1" applyBorder="1" applyAlignment="1">
      <alignment horizontal="center"/>
    </xf>
    <xf numFmtId="0" fontId="10" fillId="0" borderId="10" xfId="7" applyFont="1" applyBorder="1" applyAlignment="1">
      <alignment horizontal="center"/>
    </xf>
    <xf numFmtId="172" fontId="4" fillId="17" borderId="63" xfId="7" applyNumberFormat="1" applyFont="1" applyFill="1" applyBorder="1" applyAlignment="1">
      <alignment horizontal="center" vertical="center"/>
    </xf>
    <xf numFmtId="172" fontId="4" fillId="17" borderId="20" xfId="7" applyNumberFormat="1" applyFont="1" applyFill="1" applyBorder="1" applyAlignment="1">
      <alignment horizontal="center" vertical="center"/>
    </xf>
    <xf numFmtId="0" fontId="4" fillId="17" borderId="30" xfId="7" applyFont="1" applyFill="1" applyBorder="1" applyAlignment="1">
      <alignment horizontal="center" vertical="center"/>
    </xf>
    <xf numFmtId="0" fontId="4" fillId="17" borderId="16" xfId="7" applyFont="1" applyFill="1" applyBorder="1" applyAlignment="1">
      <alignment horizontal="center" vertical="center"/>
    </xf>
    <xf numFmtId="0" fontId="4" fillId="17" borderId="20" xfId="7" applyFont="1" applyFill="1" applyBorder="1" applyAlignment="1">
      <alignment horizontal="center" vertical="center"/>
    </xf>
    <xf numFmtId="0" fontId="4" fillId="17" borderId="44" xfId="7" applyFont="1" applyFill="1" applyBorder="1" applyAlignment="1">
      <alignment horizontal="center" vertical="center"/>
    </xf>
    <xf numFmtId="0" fontId="10" fillId="16" borderId="8" xfId="7" applyFont="1" applyFill="1" applyBorder="1" applyAlignment="1">
      <alignment horizontal="center"/>
    </xf>
    <xf numFmtId="0" fontId="10" fillId="16" borderId="9" xfId="7" applyFont="1" applyFill="1" applyBorder="1" applyAlignment="1">
      <alignment horizontal="center"/>
    </xf>
    <xf numFmtId="0" fontId="10" fillId="16" borderId="10" xfId="7" applyFont="1" applyFill="1" applyBorder="1" applyAlignment="1">
      <alignment horizontal="center"/>
    </xf>
    <xf numFmtId="0" fontId="10" fillId="16" borderId="8" xfId="7" applyFont="1" applyFill="1" applyBorder="1" applyAlignment="1">
      <alignment horizontal="left"/>
    </xf>
    <xf numFmtId="0" fontId="10" fillId="16" borderId="9" xfId="7" applyFont="1" applyFill="1" applyBorder="1" applyAlignment="1">
      <alignment horizontal="left"/>
    </xf>
    <xf numFmtId="0" fontId="10" fillId="16" borderId="10" xfId="7" applyFont="1" applyFill="1" applyBorder="1" applyAlignment="1">
      <alignment horizontal="left"/>
    </xf>
    <xf numFmtId="172" fontId="4" fillId="8" borderId="63" xfId="4" applyNumberFormat="1" applyFont="1" applyFill="1" applyBorder="1" applyAlignment="1">
      <alignment horizontal="center" vertical="center"/>
    </xf>
    <xf numFmtId="172" fontId="4" fillId="8" borderId="20" xfId="4" applyNumberFormat="1" applyFont="1" applyFill="1" applyBorder="1" applyAlignment="1">
      <alignment horizontal="center" vertical="center"/>
    </xf>
    <xf numFmtId="0" fontId="4" fillId="8" borderId="44" xfId="4" applyFont="1" applyFill="1" applyBorder="1" applyAlignment="1">
      <alignment horizontal="center" vertical="center"/>
    </xf>
    <xf numFmtId="172" fontId="4" fillId="0" borderId="63" xfId="4" applyNumberFormat="1" applyFont="1" applyBorder="1" applyAlignment="1">
      <alignment horizontal="center"/>
    </xf>
    <xf numFmtId="172" fontId="4" fillId="0" borderId="20" xfId="4" applyNumberFormat="1" applyFont="1" applyBorder="1" applyAlignment="1">
      <alignment horizontal="center"/>
    </xf>
    <xf numFmtId="0" fontId="3" fillId="10" borderId="0" xfId="4" applyFill="1" applyAlignment="1">
      <alignment horizontal="center"/>
    </xf>
    <xf numFmtId="0" fontId="31" fillId="0" borderId="19" xfId="4" applyFont="1" applyBorder="1" applyAlignment="1">
      <alignment horizontal="center" vertical="center"/>
    </xf>
    <xf numFmtId="0" fontId="31" fillId="0" borderId="5" xfId="4" applyFont="1" applyBorder="1" applyAlignment="1">
      <alignment horizontal="center" vertical="center"/>
    </xf>
    <xf numFmtId="0" fontId="31" fillId="0" borderId="13" xfId="4" applyFont="1" applyBorder="1" applyAlignment="1">
      <alignment horizontal="center" vertical="center"/>
    </xf>
    <xf numFmtId="0" fontId="31" fillId="0" borderId="14" xfId="4" applyFont="1" applyBorder="1" applyAlignment="1">
      <alignment horizontal="center" vertical="center"/>
    </xf>
    <xf numFmtId="0" fontId="24" fillId="0" borderId="31" xfId="4" applyFont="1" applyBorder="1" applyAlignment="1">
      <alignment horizontal="center" vertical="center"/>
    </xf>
    <xf numFmtId="0" fontId="24" fillId="0" borderId="32" xfId="4" applyFont="1" applyBorder="1" applyAlignment="1">
      <alignment horizontal="center" vertical="center"/>
    </xf>
    <xf numFmtId="0" fontId="24" fillId="0" borderId="28" xfId="4" applyFont="1" applyBorder="1" applyAlignment="1">
      <alignment horizontal="center" vertical="center"/>
    </xf>
    <xf numFmtId="0" fontId="3" fillId="0" borderId="67" xfId="4" applyBorder="1" applyAlignment="1">
      <alignment horizontal="center" vertical="center"/>
    </xf>
    <xf numFmtId="0" fontId="3" fillId="0" borderId="56" xfId="4" applyBorder="1" applyAlignment="1">
      <alignment horizontal="center" vertical="center"/>
    </xf>
    <xf numFmtId="0" fontId="3" fillId="0" borderId="68" xfId="4" applyBorder="1" applyAlignment="1">
      <alignment horizontal="center" vertical="center"/>
    </xf>
    <xf numFmtId="0" fontId="3" fillId="0" borderId="23" xfId="4" applyBorder="1" applyAlignment="1">
      <alignment horizontal="center"/>
    </xf>
    <xf numFmtId="0" fontId="3" fillId="0" borderId="24" xfId="4" applyBorder="1" applyAlignment="1">
      <alignment horizontal="center"/>
    </xf>
    <xf numFmtId="0" fontId="3" fillId="0" borderId="47" xfId="4" applyBorder="1" applyAlignment="1">
      <alignment horizontal="center"/>
    </xf>
    <xf numFmtId="0" fontId="29" fillId="0" borderId="23" xfId="4" applyFont="1" applyBorder="1" applyAlignment="1">
      <alignment horizontal="center" vertical="center"/>
    </xf>
    <xf numFmtId="0" fontId="29" fillId="0" borderId="26" xfId="4" applyFont="1" applyBorder="1" applyAlignment="1">
      <alignment horizontal="center" vertical="center"/>
    </xf>
    <xf numFmtId="0" fontId="29" fillId="0" borderId="27" xfId="4" applyFont="1" applyBorder="1" applyAlignment="1">
      <alignment horizontal="center" vertical="center"/>
    </xf>
    <xf numFmtId="0" fontId="29" fillId="0" borderId="24" xfId="4" applyFont="1" applyBorder="1" applyAlignment="1">
      <alignment horizontal="center"/>
    </xf>
    <xf numFmtId="0" fontId="24" fillId="0" borderId="17" xfId="4" applyFont="1" applyBorder="1" applyAlignment="1">
      <alignment horizontal="center" vertical="center"/>
    </xf>
    <xf numFmtId="0" fontId="24" fillId="0" borderId="21" xfId="4" applyFont="1" applyBorder="1" applyAlignment="1">
      <alignment horizontal="center" vertical="center"/>
    </xf>
    <xf numFmtId="170" fontId="0" fillId="0" borderId="30" xfId="3" applyNumberFormat="1" applyFont="1" applyBorder="1" applyAlignment="1">
      <alignment horizontal="center"/>
    </xf>
    <xf numFmtId="170" fontId="0" fillId="0" borderId="16" xfId="3" applyNumberFormat="1" applyFont="1" applyBorder="1" applyAlignment="1">
      <alignment horizontal="center"/>
    </xf>
    <xf numFmtId="170" fontId="0" fillId="0" borderId="20" xfId="3" applyNumberFormat="1" applyFont="1" applyBorder="1" applyAlignment="1">
      <alignment horizontal="center"/>
    </xf>
    <xf numFmtId="0" fontId="29" fillId="0" borderId="17" xfId="4" applyFont="1" applyBorder="1" applyAlignment="1">
      <alignment horizontal="center" vertical="center" wrapText="1"/>
    </xf>
    <xf numFmtId="0" fontId="29" fillId="0" borderId="21" xfId="4" applyFont="1" applyBorder="1" applyAlignment="1">
      <alignment horizontal="center" vertical="center" wrapText="1"/>
    </xf>
    <xf numFmtId="0" fontId="24" fillId="0" borderId="17" xfId="4" applyFont="1" applyBorder="1" applyAlignment="1">
      <alignment horizontal="center" vertical="center" wrapText="1"/>
    </xf>
    <xf numFmtId="0" fontId="24" fillId="0" borderId="21" xfId="4" applyFont="1" applyBorder="1" applyAlignment="1">
      <alignment horizontal="center" vertical="center" wrapText="1"/>
    </xf>
    <xf numFmtId="0" fontId="24" fillId="0" borderId="30" xfId="4" applyFont="1" applyBorder="1" applyAlignment="1">
      <alignment horizontal="center"/>
    </xf>
    <xf numFmtId="0" fontId="24" fillId="0" borderId="16" xfId="4" applyFont="1" applyBorder="1" applyAlignment="1">
      <alignment horizontal="center"/>
    </xf>
    <xf numFmtId="0" fontId="10" fillId="0" borderId="23" xfId="4" applyFont="1" applyBorder="1" applyAlignment="1">
      <alignment horizontal="center"/>
    </xf>
    <xf numFmtId="0" fontId="10" fillId="0" borderId="24" xfId="4" applyFont="1" applyBorder="1" applyAlignment="1">
      <alignment horizontal="center"/>
    </xf>
    <xf numFmtId="0" fontId="10" fillId="0" borderId="47" xfId="4" applyFont="1" applyBorder="1" applyAlignment="1">
      <alignment horizontal="center"/>
    </xf>
    <xf numFmtId="0" fontId="24" fillId="0" borderId="69" xfId="4" applyFont="1" applyBorder="1" applyAlignment="1">
      <alignment horizontal="center" vertical="center"/>
    </xf>
    <xf numFmtId="0" fontId="24" fillId="0" borderId="48" xfId="4" applyFont="1" applyBorder="1" applyAlignment="1">
      <alignment horizontal="center" vertical="center"/>
    </xf>
    <xf numFmtId="0" fontId="3" fillId="0" borderId="30" xfId="4" applyBorder="1" applyAlignment="1">
      <alignment horizontal="center"/>
    </xf>
    <xf numFmtId="0" fontId="3" fillId="0" borderId="16" xfId="4" applyBorder="1" applyAlignment="1">
      <alignment horizontal="center"/>
    </xf>
    <xf numFmtId="0" fontId="3" fillId="0" borderId="20" xfId="4" applyBorder="1" applyAlignment="1">
      <alignment horizontal="center"/>
    </xf>
    <xf numFmtId="170" fontId="29" fillId="0" borderId="30" xfId="3" applyNumberFormat="1" applyFont="1" applyBorder="1" applyAlignment="1">
      <alignment horizontal="center"/>
    </xf>
    <xf numFmtId="170" fontId="29" fillId="0" borderId="16" xfId="3" applyNumberFormat="1" applyFont="1" applyBorder="1" applyAlignment="1">
      <alignment horizontal="center"/>
    </xf>
    <xf numFmtId="170" fontId="29" fillId="0" borderId="20" xfId="3" applyNumberFormat="1" applyFont="1" applyBorder="1" applyAlignment="1">
      <alignment horizontal="center"/>
    </xf>
    <xf numFmtId="170" fontId="29" fillId="0" borderId="29" xfId="3" applyNumberFormat="1" applyFont="1" applyBorder="1" applyAlignment="1">
      <alignment horizontal="center"/>
    </xf>
    <xf numFmtId="170" fontId="29" fillId="0" borderId="70" xfId="3" applyNumberFormat="1" applyFont="1" applyBorder="1" applyAlignment="1">
      <alignment horizontal="center"/>
    </xf>
    <xf numFmtId="170" fontId="29" fillId="0" borderId="50" xfId="3" applyNumberFormat="1" applyFont="1" applyBorder="1" applyAlignment="1">
      <alignment horizontal="center"/>
    </xf>
    <xf numFmtId="0" fontId="24" fillId="0" borderId="31" xfId="4" applyFont="1" applyBorder="1" applyAlignment="1">
      <alignment horizontal="center" vertical="center" wrapText="1"/>
    </xf>
    <xf numFmtId="0" fontId="24" fillId="0" borderId="28" xfId="4" applyFont="1" applyBorder="1" applyAlignment="1">
      <alignment horizontal="center" vertical="center" wrapText="1"/>
    </xf>
    <xf numFmtId="0" fontId="30" fillId="0" borderId="17" xfId="4" applyFont="1" applyBorder="1" applyAlignment="1">
      <alignment horizontal="center"/>
    </xf>
    <xf numFmtId="0" fontId="29" fillId="0" borderId="19" xfId="4" applyFont="1" applyBorder="1" applyAlignment="1">
      <alignment horizontal="center" vertical="center"/>
    </xf>
    <xf numFmtId="0" fontId="29" fillId="0" borderId="5" xfId="4" applyFont="1" applyBorder="1" applyAlignment="1">
      <alignment horizontal="center" vertical="center"/>
    </xf>
    <xf numFmtId="0" fontId="29" fillId="0" borderId="13" xfId="4" applyFont="1" applyBorder="1" applyAlignment="1">
      <alignment horizontal="center" vertical="center"/>
    </xf>
    <xf numFmtId="0" fontId="29" fillId="0" borderId="14" xfId="4" applyFont="1" applyBorder="1" applyAlignment="1">
      <alignment horizontal="center" vertical="center"/>
    </xf>
    <xf numFmtId="0" fontId="0" fillId="0" borderId="0" xfId="0"/>
    <xf numFmtId="0" fontId="41" fillId="0" borderId="19" xfId="4" applyFont="1" applyBorder="1" applyAlignment="1">
      <alignment horizontal="center" vertical="center"/>
    </xf>
    <xf numFmtId="0" fontId="7" fillId="0" borderId="5" xfId="0" applyFont="1" applyBorder="1"/>
    <xf numFmtId="0" fontId="7" fillId="0" borderId="13" xfId="0" applyFont="1" applyBorder="1"/>
    <xf numFmtId="0" fontId="7" fillId="0" borderId="14" xfId="0" applyFont="1" applyBorder="1"/>
    <xf numFmtId="0" fontId="42" fillId="0" borderId="30" xfId="4" applyFont="1" applyBorder="1" applyAlignment="1">
      <alignment horizontal="center"/>
    </xf>
  </cellXfs>
  <cellStyles count="18">
    <cellStyle name="Comma" xfId="1" builtinId="3"/>
    <cellStyle name="Comma 2" xfId="2" xr:uid="{00000000-0005-0000-0000-000001000000}"/>
    <cellStyle name="Comma 2 2" xfId="10" xr:uid="{00000000-0005-0000-0000-000002000000}"/>
    <cellStyle name="Comma 2 3" xfId="12" xr:uid="{00000000-0005-0000-0000-000003000000}"/>
    <cellStyle name="Comma 3" xfId="3" xr:uid="{00000000-0005-0000-0000-000004000000}"/>
    <cellStyle name="Comma 3 2" xfId="13" xr:uid="{00000000-0005-0000-0000-000005000000}"/>
    <cellStyle name="Comma 4" xfId="9" xr:uid="{00000000-0005-0000-0000-000006000000}"/>
    <cellStyle name="Comma 4 2" xfId="16" xr:uid="{00000000-0005-0000-0000-000007000000}"/>
    <cellStyle name="Currency 2" xfId="17" xr:uid="{00000000-0005-0000-0000-000008000000}"/>
    <cellStyle name="Normal" xfId="0" builtinId="0"/>
    <cellStyle name="Normal 2" xfId="4" xr:uid="{00000000-0005-0000-0000-00000A000000}"/>
    <cellStyle name="Normal 2 2" xfId="7" xr:uid="{00000000-0005-0000-0000-00000B000000}"/>
    <cellStyle name="Normal 2 3" xfId="11" xr:uid="{00000000-0005-0000-0000-00000C000000}"/>
    <cellStyle name="Normal 3" xfId="8" xr:uid="{00000000-0005-0000-0000-00000D000000}"/>
    <cellStyle name="Normal 3 2" xfId="15" xr:uid="{00000000-0005-0000-0000-00000E000000}"/>
    <cellStyle name="Percent" xfId="5" builtinId="5"/>
    <cellStyle name="Percent 2" xfId="6" xr:uid="{00000000-0005-0000-0000-000010000000}"/>
    <cellStyle name="Percent 2 2" xfId="14" xr:uid="{00000000-0005-0000-0000-000011000000}"/>
  </cellStyles>
  <dxfs count="0"/>
  <tableStyles count="0" defaultTableStyle="TableStyleMedium9" defaultPivotStyle="PivotStyleLight16"/>
  <colors>
    <mruColors>
      <color rgb="FF2FFF8D"/>
      <color rgb="FF11FF7D"/>
      <color rgb="FFFFFF99"/>
      <color rgb="FFFFFFCC"/>
      <color rgb="FF00D661"/>
      <color rgb="FFCC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jpg"/><Relationship Id="rId1" Type="http://schemas.openxmlformats.org/officeDocument/2006/relationships/image" Target="../media/image2.JP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jpg"/><Relationship Id="rId1" Type="http://schemas.openxmlformats.org/officeDocument/2006/relationships/image" Target="../media/image2.JP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jpg"/><Relationship Id="rId1" Type="http://schemas.openxmlformats.org/officeDocument/2006/relationships/image" Target="../media/image2.JP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jpg"/><Relationship Id="rId1" Type="http://schemas.openxmlformats.org/officeDocument/2006/relationships/image" Target="../media/image2.JP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emf"/><Relationship Id="rId1" Type="http://schemas.openxmlformats.org/officeDocument/2006/relationships/image" Target="../media/image3.jpg"/><Relationship Id="rId5" Type="http://schemas.openxmlformats.org/officeDocument/2006/relationships/image" Target="../media/image2.JPG"/><Relationship Id="rId4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7.png"/><Relationship Id="rId1" Type="http://schemas.openxmlformats.org/officeDocument/2006/relationships/image" Target="../media/image4.emf"/><Relationship Id="rId4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7.png"/><Relationship Id="rId1" Type="http://schemas.openxmlformats.org/officeDocument/2006/relationships/image" Target="../media/image4.emf"/><Relationship Id="rId4" Type="http://schemas.openxmlformats.org/officeDocument/2006/relationships/image" Target="../media/image2.JP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7.png"/><Relationship Id="rId1" Type="http://schemas.openxmlformats.org/officeDocument/2006/relationships/image" Target="../media/image4.emf"/><Relationship Id="rId4" Type="http://schemas.openxmlformats.org/officeDocument/2006/relationships/image" Target="../media/image2.JP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7.png"/><Relationship Id="rId1" Type="http://schemas.openxmlformats.org/officeDocument/2006/relationships/image" Target="../media/image4.emf"/><Relationship Id="rId4" Type="http://schemas.openxmlformats.org/officeDocument/2006/relationships/image" Target="../media/image2.JP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jpg"/><Relationship Id="rId1" Type="http://schemas.openxmlformats.org/officeDocument/2006/relationships/image" Target="../media/image2.JP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jpg"/><Relationship Id="rId1" Type="http://schemas.openxmlformats.org/officeDocument/2006/relationships/image" Target="../media/image2.JP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464</xdr:row>
      <xdr:rowOff>9525</xdr:rowOff>
    </xdr:from>
    <xdr:to>
      <xdr:col>7</xdr:col>
      <xdr:colOff>66675</xdr:colOff>
      <xdr:row>465</xdr:row>
      <xdr:rowOff>133350</xdr:rowOff>
    </xdr:to>
    <xdr:pic>
      <xdr:nvPicPr>
        <xdr:cNvPr id="18787" name="Picture 1" descr="D:\AUDIT accounts\2010\PSALM2010_leyeco4\letterhead.jpg">
          <a:extLst>
            <a:ext uri="{FF2B5EF4-FFF2-40B4-BE49-F238E27FC236}">
              <a16:creationId xmlns:a16="http://schemas.microsoft.com/office/drawing/2014/main" id="{00000000-0008-0000-0000-000063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5923775"/>
          <a:ext cx="59626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513</xdr:row>
      <xdr:rowOff>9525</xdr:rowOff>
    </xdr:from>
    <xdr:to>
      <xdr:col>7</xdr:col>
      <xdr:colOff>66675</xdr:colOff>
      <xdr:row>514</xdr:row>
      <xdr:rowOff>133350</xdr:rowOff>
    </xdr:to>
    <xdr:pic>
      <xdr:nvPicPr>
        <xdr:cNvPr id="18788" name="Picture 1" descr="D:\AUDIT accounts\2010\PSALM2010_leyeco4\letterhead.jpg">
          <a:extLst>
            <a:ext uri="{FF2B5EF4-FFF2-40B4-BE49-F238E27FC236}">
              <a16:creationId xmlns:a16="http://schemas.microsoft.com/office/drawing/2014/main" id="{00000000-0008-0000-0000-000064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3924775"/>
          <a:ext cx="59626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60614</xdr:colOff>
      <xdr:row>1</xdr:row>
      <xdr:rowOff>43294</xdr:rowOff>
    </xdr:from>
    <xdr:to>
      <xdr:col>7</xdr:col>
      <xdr:colOff>50800</xdr:colOff>
      <xdr:row>4</xdr:row>
      <xdr:rowOff>25977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14" y="233794"/>
          <a:ext cx="5981411" cy="554183"/>
        </a:xfrm>
        <a:prstGeom prst="rect">
          <a:avLst/>
        </a:prstGeom>
      </xdr:spPr>
    </xdr:pic>
    <xdr:clientData/>
  </xdr:twoCellAnchor>
  <xdr:twoCellAnchor editAs="oneCell">
    <xdr:from>
      <xdr:col>0</xdr:col>
      <xdr:colOff>251114</xdr:colOff>
      <xdr:row>45</xdr:row>
      <xdr:rowOff>155863</xdr:rowOff>
    </xdr:from>
    <xdr:to>
      <xdr:col>0</xdr:col>
      <xdr:colOff>1178620</xdr:colOff>
      <xdr:row>49</xdr:row>
      <xdr:rowOff>148280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58922">
          <a:off x="251114" y="8555181"/>
          <a:ext cx="927506" cy="737099"/>
        </a:xfrm>
        <a:prstGeom prst="rect">
          <a:avLst/>
        </a:prstGeom>
      </xdr:spPr>
    </xdr:pic>
    <xdr:clientData/>
  </xdr:twoCellAnchor>
  <xdr:twoCellAnchor editAs="oneCell">
    <xdr:from>
      <xdr:col>0</xdr:col>
      <xdr:colOff>2147454</xdr:colOff>
      <xdr:row>47</xdr:row>
      <xdr:rowOff>43295</xdr:rowOff>
    </xdr:from>
    <xdr:to>
      <xdr:col>1</xdr:col>
      <xdr:colOff>131525</xdr:colOff>
      <xdr:row>48</xdr:row>
      <xdr:rowOff>155862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7454" y="8806295"/>
          <a:ext cx="590457" cy="303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372341</xdr:colOff>
      <xdr:row>46</xdr:row>
      <xdr:rowOff>173182</xdr:rowOff>
    </xdr:from>
    <xdr:to>
      <xdr:col>2</xdr:col>
      <xdr:colOff>528204</xdr:colOff>
      <xdr:row>49</xdr:row>
      <xdr:rowOff>149716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75364" y="8745682"/>
          <a:ext cx="155863" cy="548034"/>
        </a:xfrm>
        <a:prstGeom prst="rect">
          <a:avLst/>
        </a:prstGeom>
      </xdr:spPr>
    </xdr:pic>
    <xdr:clientData/>
  </xdr:twoCellAnchor>
  <xdr:twoCellAnchor editAs="oneCell">
    <xdr:from>
      <xdr:col>6</xdr:col>
      <xdr:colOff>112569</xdr:colOff>
      <xdr:row>46</xdr:row>
      <xdr:rowOff>155864</xdr:rowOff>
    </xdr:from>
    <xdr:to>
      <xdr:col>6</xdr:col>
      <xdr:colOff>753342</xdr:colOff>
      <xdr:row>49</xdr:row>
      <xdr:rowOff>95251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4114" y="8728364"/>
          <a:ext cx="640773" cy="5108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60614</xdr:colOff>
      <xdr:row>1</xdr:row>
      <xdr:rowOff>43294</xdr:rowOff>
    </xdr:from>
    <xdr:to>
      <xdr:col>7</xdr:col>
      <xdr:colOff>50800</xdr:colOff>
      <xdr:row>4</xdr:row>
      <xdr:rowOff>111702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FF10D08-F254-4985-B231-201692AEE8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14" y="233794"/>
          <a:ext cx="5981411" cy="554183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45</xdr:row>
      <xdr:rowOff>133350</xdr:rowOff>
    </xdr:from>
    <xdr:to>
      <xdr:col>0</xdr:col>
      <xdr:colOff>1175156</xdr:colOff>
      <xdr:row>49</xdr:row>
      <xdr:rowOff>127499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DC90F8B-9004-4C3E-962C-98FB6CB208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58922">
          <a:off x="247650" y="8534400"/>
          <a:ext cx="927506" cy="737099"/>
        </a:xfrm>
        <a:prstGeom prst="rect">
          <a:avLst/>
        </a:prstGeom>
      </xdr:spPr>
    </xdr:pic>
    <xdr:clientData/>
  </xdr:twoCellAnchor>
  <xdr:twoCellAnchor editAs="oneCell">
    <xdr:from>
      <xdr:col>0</xdr:col>
      <xdr:colOff>2143990</xdr:colOff>
      <xdr:row>47</xdr:row>
      <xdr:rowOff>22514</xdr:rowOff>
    </xdr:from>
    <xdr:to>
      <xdr:col>1</xdr:col>
      <xdr:colOff>123825</xdr:colOff>
      <xdr:row>48</xdr:row>
      <xdr:rowOff>135081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3B62369C-CDFF-4D5D-821C-E01906400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990" y="8785514"/>
          <a:ext cx="589685" cy="303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361950</xdr:colOff>
      <xdr:row>46</xdr:row>
      <xdr:rowOff>152401</xdr:rowOff>
    </xdr:from>
    <xdr:to>
      <xdr:col>2</xdr:col>
      <xdr:colOff>517813</xdr:colOff>
      <xdr:row>49</xdr:row>
      <xdr:rowOff>128935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E09CAA6-865E-4560-B1F4-7E4518BED5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71900" y="8724901"/>
          <a:ext cx="155863" cy="548034"/>
        </a:xfrm>
        <a:prstGeom prst="rect">
          <a:avLst/>
        </a:prstGeom>
      </xdr:spPr>
    </xdr:pic>
    <xdr:clientData/>
  </xdr:twoCellAnchor>
  <xdr:twoCellAnchor editAs="oneCell">
    <xdr:from>
      <xdr:col>6</xdr:col>
      <xdr:colOff>104775</xdr:colOff>
      <xdr:row>46</xdr:row>
      <xdr:rowOff>135083</xdr:rowOff>
    </xdr:from>
    <xdr:to>
      <xdr:col>6</xdr:col>
      <xdr:colOff>745548</xdr:colOff>
      <xdr:row>49</xdr:row>
      <xdr:rowOff>74470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CD199C2-E21D-441D-857A-F2349BCC2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8707583"/>
          <a:ext cx="640773" cy="5108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60614</xdr:colOff>
      <xdr:row>1</xdr:row>
      <xdr:rowOff>43294</xdr:rowOff>
    </xdr:from>
    <xdr:to>
      <xdr:col>7</xdr:col>
      <xdr:colOff>50800</xdr:colOff>
      <xdr:row>4</xdr:row>
      <xdr:rowOff>111702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8F8EDC-5DF7-4F40-9EBA-495EB7791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14" y="233794"/>
          <a:ext cx="5981411" cy="554183"/>
        </a:xfrm>
        <a:prstGeom prst="rect">
          <a:avLst/>
        </a:prstGeom>
      </xdr:spPr>
    </xdr:pic>
    <xdr:clientData/>
  </xdr:twoCellAnchor>
  <xdr:twoCellAnchor editAs="oneCell">
    <xdr:from>
      <xdr:col>0</xdr:col>
      <xdr:colOff>483261</xdr:colOff>
      <xdr:row>45</xdr:row>
      <xdr:rowOff>161925</xdr:rowOff>
    </xdr:from>
    <xdr:to>
      <xdr:col>0</xdr:col>
      <xdr:colOff>1410767</xdr:colOff>
      <xdr:row>49</xdr:row>
      <xdr:rowOff>156074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8B45261-9C7E-4990-85EC-1F367936F5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58922">
          <a:off x="483261" y="8562975"/>
          <a:ext cx="927506" cy="737099"/>
        </a:xfrm>
        <a:prstGeom prst="rect">
          <a:avLst/>
        </a:prstGeom>
      </xdr:spPr>
    </xdr:pic>
    <xdr:clientData/>
  </xdr:twoCellAnchor>
  <xdr:twoCellAnchor editAs="oneCell">
    <xdr:from>
      <xdr:col>0</xdr:col>
      <xdr:colOff>2379601</xdr:colOff>
      <xdr:row>47</xdr:row>
      <xdr:rowOff>51089</xdr:rowOff>
    </xdr:from>
    <xdr:to>
      <xdr:col>1</xdr:col>
      <xdr:colOff>360208</xdr:colOff>
      <xdr:row>48</xdr:row>
      <xdr:rowOff>163656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D5C9349A-08FE-4569-B58F-BFBD22838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9601" y="8814089"/>
          <a:ext cx="590457" cy="303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597561</xdr:colOff>
      <xdr:row>46</xdr:row>
      <xdr:rowOff>180976</xdr:rowOff>
    </xdr:from>
    <xdr:to>
      <xdr:col>2</xdr:col>
      <xdr:colOff>753424</xdr:colOff>
      <xdr:row>49</xdr:row>
      <xdr:rowOff>157510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A516225-A0D8-4B94-A6FB-7F0EEB5B4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07511" y="8753476"/>
          <a:ext cx="155863" cy="548034"/>
        </a:xfrm>
        <a:prstGeom prst="rect">
          <a:avLst/>
        </a:prstGeom>
      </xdr:spPr>
    </xdr:pic>
    <xdr:clientData/>
  </xdr:twoCellAnchor>
  <xdr:twoCellAnchor editAs="oneCell">
    <xdr:from>
      <xdr:col>6</xdr:col>
      <xdr:colOff>340386</xdr:colOff>
      <xdr:row>46</xdr:row>
      <xdr:rowOff>163658</xdr:rowOff>
    </xdr:from>
    <xdr:to>
      <xdr:col>7</xdr:col>
      <xdr:colOff>85809</xdr:colOff>
      <xdr:row>49</xdr:row>
      <xdr:rowOff>103045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12193D7-5D00-4AE7-8213-C04996D50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6261" y="8736158"/>
          <a:ext cx="640773" cy="5108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464</xdr:row>
      <xdr:rowOff>0</xdr:rowOff>
    </xdr:from>
    <xdr:to>
      <xdr:col>7</xdr:col>
      <xdr:colOff>66675</xdr:colOff>
      <xdr:row>514</xdr:row>
      <xdr:rowOff>104775</xdr:rowOff>
    </xdr:to>
    <xdr:pic>
      <xdr:nvPicPr>
        <xdr:cNvPr id="22872" name="Picture 1" descr="D:\AUDIT accounts\2010\PSALM2010_leyeco4\letterhead.jpg">
          <a:extLst>
            <a:ext uri="{FF2B5EF4-FFF2-40B4-BE49-F238E27FC236}">
              <a16:creationId xmlns:a16="http://schemas.microsoft.com/office/drawing/2014/main" id="{00000000-0008-0000-0B00-000058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9626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507</xdr:row>
      <xdr:rowOff>123825</xdr:rowOff>
    </xdr:from>
    <xdr:to>
      <xdr:col>6</xdr:col>
      <xdr:colOff>400050</xdr:colOff>
      <xdr:row>515</xdr:row>
      <xdr:rowOff>114300</xdr:rowOff>
    </xdr:to>
    <xdr:pic>
      <xdr:nvPicPr>
        <xdr:cNvPr id="22873" name="Picture 1" descr="D:\AUDIT accounts\2010\PSALM2010_leyeco4\letterhead.jpg">
          <a:extLst>
            <a:ext uri="{FF2B5EF4-FFF2-40B4-BE49-F238E27FC236}">
              <a16:creationId xmlns:a16="http://schemas.microsoft.com/office/drawing/2014/main" id="{00000000-0008-0000-0B00-000059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3721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562</xdr:row>
      <xdr:rowOff>66675</xdr:rowOff>
    </xdr:from>
    <xdr:to>
      <xdr:col>7</xdr:col>
      <xdr:colOff>66675</xdr:colOff>
      <xdr:row>565</xdr:row>
      <xdr:rowOff>76200</xdr:rowOff>
    </xdr:to>
    <xdr:pic>
      <xdr:nvPicPr>
        <xdr:cNvPr id="22874" name="Picture 1" descr="D:\AUDIT accounts\2010\PSALM2010_leyeco4\letterhead.jpg">
          <a:extLst>
            <a:ext uri="{FF2B5EF4-FFF2-40B4-BE49-F238E27FC236}">
              <a16:creationId xmlns:a16="http://schemas.microsoft.com/office/drawing/2014/main" id="{00000000-0008-0000-0B00-00005A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372475"/>
          <a:ext cx="59626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611</xdr:row>
      <xdr:rowOff>66675</xdr:rowOff>
    </xdr:from>
    <xdr:to>
      <xdr:col>7</xdr:col>
      <xdr:colOff>66675</xdr:colOff>
      <xdr:row>614</xdr:row>
      <xdr:rowOff>76200</xdr:rowOff>
    </xdr:to>
    <xdr:pic>
      <xdr:nvPicPr>
        <xdr:cNvPr id="22875" name="Picture 1" descr="D:\AUDIT accounts\2010\PSALM2010_leyeco4\letterhead.jpg">
          <a:extLst>
            <a:ext uri="{FF2B5EF4-FFF2-40B4-BE49-F238E27FC236}">
              <a16:creationId xmlns:a16="http://schemas.microsoft.com/office/drawing/2014/main" id="{00000000-0008-0000-0B00-00005B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592550"/>
          <a:ext cx="59626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660</xdr:row>
      <xdr:rowOff>66675</xdr:rowOff>
    </xdr:from>
    <xdr:to>
      <xdr:col>7</xdr:col>
      <xdr:colOff>66675</xdr:colOff>
      <xdr:row>663</xdr:row>
      <xdr:rowOff>76200</xdr:rowOff>
    </xdr:to>
    <xdr:pic>
      <xdr:nvPicPr>
        <xdr:cNvPr id="22876" name="Picture 1" descr="D:\AUDIT accounts\2010\PSALM2010_leyeco4\letterhead.jpg">
          <a:extLst>
            <a:ext uri="{FF2B5EF4-FFF2-40B4-BE49-F238E27FC236}">
              <a16:creationId xmlns:a16="http://schemas.microsoft.com/office/drawing/2014/main" id="{00000000-0008-0000-0B00-00005C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4603075"/>
          <a:ext cx="59626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712</xdr:row>
      <xdr:rowOff>66675</xdr:rowOff>
    </xdr:from>
    <xdr:to>
      <xdr:col>7</xdr:col>
      <xdr:colOff>66675</xdr:colOff>
      <xdr:row>715</xdr:row>
      <xdr:rowOff>76200</xdr:rowOff>
    </xdr:to>
    <xdr:pic>
      <xdr:nvPicPr>
        <xdr:cNvPr id="22877" name="Picture 1" descr="D:\AUDIT accounts\2010\PSALM2010_leyeco4\letterhead.jpg">
          <a:extLst>
            <a:ext uri="{FF2B5EF4-FFF2-40B4-BE49-F238E27FC236}">
              <a16:creationId xmlns:a16="http://schemas.microsoft.com/office/drawing/2014/main" id="{00000000-0008-0000-0B00-00005D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3099375"/>
          <a:ext cx="59626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247650</xdr:colOff>
      <xdr:row>2</xdr:row>
      <xdr:rowOff>104775</xdr:rowOff>
    </xdr:to>
    <xdr:pic>
      <xdr:nvPicPr>
        <xdr:cNvPr id="20599" name="Picture 1" descr="logo leyeco.jpg">
          <a:extLst>
            <a:ext uri="{FF2B5EF4-FFF2-40B4-BE49-F238E27FC236}">
              <a16:creationId xmlns:a16="http://schemas.microsoft.com/office/drawing/2014/main" id="{00000000-0008-0000-0C00-000077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4485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134</xdr:row>
      <xdr:rowOff>142875</xdr:rowOff>
    </xdr:from>
    <xdr:to>
      <xdr:col>5</xdr:col>
      <xdr:colOff>76200</xdr:colOff>
      <xdr:row>137</xdr:row>
      <xdr:rowOff>95250</xdr:rowOff>
    </xdr:to>
    <xdr:pic>
      <xdr:nvPicPr>
        <xdr:cNvPr id="18305" name="Picture 4">
          <a:extLst>
            <a:ext uri="{FF2B5EF4-FFF2-40B4-BE49-F238E27FC236}">
              <a16:creationId xmlns:a16="http://schemas.microsoft.com/office/drawing/2014/main" id="{00000000-0008-0000-0E00-000081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 l="16731" t="29103" r="13918" b="60796"/>
        <a:stretch>
          <a:fillRect/>
        </a:stretch>
      </xdr:blipFill>
      <xdr:spPr bwMode="auto">
        <a:xfrm>
          <a:off x="0" y="22507575"/>
          <a:ext cx="3295650" cy="4381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10</xdr:col>
      <xdr:colOff>533400</xdr:colOff>
      <xdr:row>134</xdr:row>
      <xdr:rowOff>133350</xdr:rowOff>
    </xdr:from>
    <xdr:to>
      <xdr:col>15</xdr:col>
      <xdr:colOff>609600</xdr:colOff>
      <xdr:row>137</xdr:row>
      <xdr:rowOff>85725</xdr:rowOff>
    </xdr:to>
    <xdr:pic>
      <xdr:nvPicPr>
        <xdr:cNvPr id="18306" name="Picture 4">
          <a:extLst>
            <a:ext uri="{FF2B5EF4-FFF2-40B4-BE49-F238E27FC236}">
              <a16:creationId xmlns:a16="http://schemas.microsoft.com/office/drawing/2014/main" id="{00000000-0008-0000-0E00-000082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 l="16731" t="29103" r="13918" b="60796"/>
        <a:stretch>
          <a:fillRect/>
        </a:stretch>
      </xdr:blipFill>
      <xdr:spPr bwMode="auto">
        <a:xfrm>
          <a:off x="7058025" y="22498050"/>
          <a:ext cx="4810125" cy="4381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255</xdr:row>
      <xdr:rowOff>66675</xdr:rowOff>
    </xdr:from>
    <xdr:to>
      <xdr:col>4</xdr:col>
      <xdr:colOff>676275</xdr:colOff>
      <xdr:row>258</xdr:row>
      <xdr:rowOff>9525</xdr:rowOff>
    </xdr:to>
    <xdr:pic>
      <xdr:nvPicPr>
        <xdr:cNvPr id="18307" name="Picture 4">
          <a:extLst>
            <a:ext uri="{FF2B5EF4-FFF2-40B4-BE49-F238E27FC236}">
              <a16:creationId xmlns:a16="http://schemas.microsoft.com/office/drawing/2014/main" id="{00000000-0008-0000-0E00-000083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 l="16731" t="29103" r="13918" b="60796"/>
        <a:stretch>
          <a:fillRect/>
        </a:stretch>
      </xdr:blipFill>
      <xdr:spPr bwMode="auto">
        <a:xfrm>
          <a:off x="19050" y="42891075"/>
          <a:ext cx="3171825" cy="4286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10</xdr:col>
      <xdr:colOff>285750</xdr:colOff>
      <xdr:row>369</xdr:row>
      <xdr:rowOff>133350</xdr:rowOff>
    </xdr:from>
    <xdr:to>
      <xdr:col>14</xdr:col>
      <xdr:colOff>571500</xdr:colOff>
      <xdr:row>372</xdr:row>
      <xdr:rowOff>95250</xdr:rowOff>
    </xdr:to>
    <xdr:pic>
      <xdr:nvPicPr>
        <xdr:cNvPr id="18308" name="Picture 4">
          <a:extLst>
            <a:ext uri="{FF2B5EF4-FFF2-40B4-BE49-F238E27FC236}">
              <a16:creationId xmlns:a16="http://schemas.microsoft.com/office/drawing/2014/main" id="{00000000-0008-0000-0E00-000084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 l="16731" t="29103" r="13918" b="60796"/>
        <a:stretch>
          <a:fillRect/>
        </a:stretch>
      </xdr:blipFill>
      <xdr:spPr bwMode="auto">
        <a:xfrm>
          <a:off x="6810375" y="61931550"/>
          <a:ext cx="4257675" cy="4476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1152525</xdr:colOff>
      <xdr:row>1</xdr:row>
      <xdr:rowOff>28575</xdr:rowOff>
    </xdr:to>
    <xdr:pic>
      <xdr:nvPicPr>
        <xdr:cNvPr id="19646" name="Picture 1" descr="D:\AUDIT accounts\2010\PSALM2010_leyeco4\letterhead.jpg">
          <a:extLst>
            <a:ext uri="{FF2B5EF4-FFF2-40B4-BE49-F238E27FC236}">
              <a16:creationId xmlns:a16="http://schemas.microsoft.com/office/drawing/2014/main" id="{00000000-0008-0000-1100-0000BE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8768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103909</xdr:colOff>
      <xdr:row>1</xdr:row>
      <xdr:rowOff>17316</xdr:rowOff>
    </xdr:from>
    <xdr:to>
      <xdr:col>7</xdr:col>
      <xdr:colOff>69274</xdr:colOff>
      <xdr:row>3</xdr:row>
      <xdr:rowOff>190499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09" y="207816"/>
          <a:ext cx="6035388" cy="554183"/>
        </a:xfrm>
        <a:prstGeom prst="rect">
          <a:avLst/>
        </a:prstGeom>
      </xdr:spPr>
    </xdr:pic>
    <xdr:clientData/>
  </xdr:twoCellAnchor>
  <xdr:twoCellAnchor editAs="oneCell">
    <xdr:from>
      <xdr:col>0</xdr:col>
      <xdr:colOff>268431</xdr:colOff>
      <xdr:row>45</xdr:row>
      <xdr:rowOff>129887</xdr:rowOff>
    </xdr:from>
    <xdr:to>
      <xdr:col>0</xdr:col>
      <xdr:colOff>1195937</xdr:colOff>
      <xdr:row>49</xdr:row>
      <xdr:rowOff>122304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58922">
          <a:off x="268431" y="18435205"/>
          <a:ext cx="927506" cy="737099"/>
        </a:xfrm>
        <a:prstGeom prst="rect">
          <a:avLst/>
        </a:prstGeom>
      </xdr:spPr>
    </xdr:pic>
    <xdr:clientData/>
  </xdr:twoCellAnchor>
  <xdr:twoCellAnchor editAs="oneCell">
    <xdr:from>
      <xdr:col>0</xdr:col>
      <xdr:colOff>2182091</xdr:colOff>
      <xdr:row>47</xdr:row>
      <xdr:rowOff>8659</xdr:rowOff>
    </xdr:from>
    <xdr:to>
      <xdr:col>1</xdr:col>
      <xdr:colOff>79571</xdr:colOff>
      <xdr:row>48</xdr:row>
      <xdr:rowOff>121226</xdr:rowOff>
    </xdr:to>
    <xdr:pic>
      <xdr:nvPicPr>
        <xdr:cNvPr id="69" name="Picture 2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2091" y="18677659"/>
          <a:ext cx="590457" cy="303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372341</xdr:colOff>
      <xdr:row>46</xdr:row>
      <xdr:rowOff>138545</xdr:rowOff>
    </xdr:from>
    <xdr:to>
      <xdr:col>2</xdr:col>
      <xdr:colOff>528204</xdr:colOff>
      <xdr:row>49</xdr:row>
      <xdr:rowOff>115079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61955" y="18617045"/>
          <a:ext cx="155863" cy="548034"/>
        </a:xfrm>
        <a:prstGeom prst="rect">
          <a:avLst/>
        </a:prstGeom>
      </xdr:spPr>
    </xdr:pic>
    <xdr:clientData/>
  </xdr:twoCellAnchor>
  <xdr:twoCellAnchor editAs="oneCell">
    <xdr:from>
      <xdr:col>6</xdr:col>
      <xdr:colOff>147205</xdr:colOff>
      <xdr:row>46</xdr:row>
      <xdr:rowOff>138545</xdr:rowOff>
    </xdr:from>
    <xdr:to>
      <xdr:col>6</xdr:col>
      <xdr:colOff>787978</xdr:colOff>
      <xdr:row>49</xdr:row>
      <xdr:rowOff>77932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341" y="18617045"/>
          <a:ext cx="640773" cy="5108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233795</xdr:colOff>
      <xdr:row>45</xdr:row>
      <xdr:rowOff>43298</xdr:rowOff>
    </xdr:from>
    <xdr:to>
      <xdr:col>0</xdr:col>
      <xdr:colOff>1161301</xdr:colOff>
      <xdr:row>49</xdr:row>
      <xdr:rowOff>159540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58922">
          <a:off x="233795" y="8633116"/>
          <a:ext cx="927506" cy="860924"/>
        </a:xfrm>
        <a:prstGeom prst="rect">
          <a:avLst/>
        </a:prstGeom>
      </xdr:spPr>
    </xdr:pic>
    <xdr:clientData/>
  </xdr:twoCellAnchor>
  <xdr:twoCellAnchor editAs="oneCell">
    <xdr:from>
      <xdr:col>0</xdr:col>
      <xdr:colOff>2086841</xdr:colOff>
      <xdr:row>46</xdr:row>
      <xdr:rowOff>173182</xdr:rowOff>
    </xdr:from>
    <xdr:to>
      <xdr:col>0</xdr:col>
      <xdr:colOff>2677298</xdr:colOff>
      <xdr:row>48</xdr:row>
      <xdr:rowOff>123824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6841" y="8936182"/>
          <a:ext cx="590457" cy="331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285750</xdr:colOff>
      <xdr:row>46</xdr:row>
      <xdr:rowOff>173181</xdr:rowOff>
    </xdr:from>
    <xdr:to>
      <xdr:col>2</xdr:col>
      <xdr:colOff>441613</xdr:colOff>
      <xdr:row>50</xdr:row>
      <xdr:rowOff>73515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75364" y="8936181"/>
          <a:ext cx="155863" cy="662334"/>
        </a:xfrm>
        <a:prstGeom prst="rect">
          <a:avLst/>
        </a:prstGeom>
      </xdr:spPr>
    </xdr:pic>
    <xdr:clientData/>
  </xdr:twoCellAnchor>
  <xdr:twoCellAnchor editAs="oneCell">
    <xdr:from>
      <xdr:col>6</xdr:col>
      <xdr:colOff>25978</xdr:colOff>
      <xdr:row>46</xdr:row>
      <xdr:rowOff>129885</xdr:rowOff>
    </xdr:from>
    <xdr:to>
      <xdr:col>6</xdr:col>
      <xdr:colOff>666751</xdr:colOff>
      <xdr:row>49</xdr:row>
      <xdr:rowOff>183572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4114" y="8892885"/>
          <a:ext cx="640773" cy="625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60614</xdr:colOff>
      <xdr:row>1</xdr:row>
      <xdr:rowOff>43294</xdr:rowOff>
    </xdr:from>
    <xdr:to>
      <xdr:col>7</xdr:col>
      <xdr:colOff>25979</xdr:colOff>
      <xdr:row>4</xdr:row>
      <xdr:rowOff>25977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14" y="233794"/>
          <a:ext cx="6042315" cy="5541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258136</xdr:colOff>
      <xdr:row>47</xdr:row>
      <xdr:rowOff>48278</xdr:rowOff>
    </xdr:from>
    <xdr:to>
      <xdr:col>0</xdr:col>
      <xdr:colOff>894677</xdr:colOff>
      <xdr:row>48</xdr:row>
      <xdr:rowOff>113949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36" y="9001778"/>
          <a:ext cx="636541" cy="256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77931</xdr:colOff>
      <xdr:row>47</xdr:row>
      <xdr:rowOff>6729</xdr:rowOff>
    </xdr:from>
    <xdr:to>
      <xdr:col>6</xdr:col>
      <xdr:colOff>68977</xdr:colOff>
      <xdr:row>49</xdr:row>
      <xdr:rowOff>60611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5631" y="8960229"/>
          <a:ext cx="714946" cy="4348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2598885</xdr:colOff>
      <xdr:row>46</xdr:row>
      <xdr:rowOff>159128</xdr:rowOff>
    </xdr:from>
    <xdr:to>
      <xdr:col>1</xdr:col>
      <xdr:colOff>86590</xdr:colOff>
      <xdr:row>49</xdr:row>
      <xdr:rowOff>135662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98885" y="8922128"/>
          <a:ext cx="183280" cy="548034"/>
        </a:xfrm>
        <a:prstGeom prst="rect">
          <a:avLst/>
        </a:prstGeom>
      </xdr:spPr>
    </xdr:pic>
    <xdr:clientData/>
  </xdr:twoCellAnchor>
  <xdr:twoCellAnchor editAs="oneCell">
    <xdr:from>
      <xdr:col>0</xdr:col>
      <xdr:colOff>60614</xdr:colOff>
      <xdr:row>1</xdr:row>
      <xdr:rowOff>43294</xdr:rowOff>
    </xdr:from>
    <xdr:to>
      <xdr:col>7</xdr:col>
      <xdr:colOff>25979</xdr:colOff>
      <xdr:row>4</xdr:row>
      <xdr:rowOff>25977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14" y="233794"/>
          <a:ext cx="6042315" cy="55418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258135</xdr:colOff>
      <xdr:row>47</xdr:row>
      <xdr:rowOff>22300</xdr:rowOff>
    </xdr:from>
    <xdr:to>
      <xdr:col>0</xdr:col>
      <xdr:colOff>894676</xdr:colOff>
      <xdr:row>48</xdr:row>
      <xdr:rowOff>87971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35" y="8785300"/>
          <a:ext cx="636541" cy="256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60613</xdr:colOff>
      <xdr:row>46</xdr:row>
      <xdr:rowOff>162594</xdr:rowOff>
    </xdr:from>
    <xdr:to>
      <xdr:col>6</xdr:col>
      <xdr:colOff>39536</xdr:colOff>
      <xdr:row>49</xdr:row>
      <xdr:rowOff>25976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8313" y="8735094"/>
          <a:ext cx="714946" cy="4348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2607544</xdr:colOff>
      <xdr:row>47</xdr:row>
      <xdr:rowOff>29241</xdr:rowOff>
    </xdr:from>
    <xdr:to>
      <xdr:col>0</xdr:col>
      <xdr:colOff>2790824</xdr:colOff>
      <xdr:row>50</xdr:row>
      <xdr:rowOff>5774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07544" y="8792241"/>
          <a:ext cx="183280" cy="548033"/>
        </a:xfrm>
        <a:prstGeom prst="rect">
          <a:avLst/>
        </a:prstGeom>
      </xdr:spPr>
    </xdr:pic>
    <xdr:clientData/>
  </xdr:twoCellAnchor>
  <xdr:twoCellAnchor editAs="oneCell">
    <xdr:from>
      <xdr:col>0</xdr:col>
      <xdr:colOff>60614</xdr:colOff>
      <xdr:row>1</xdr:row>
      <xdr:rowOff>43294</xdr:rowOff>
    </xdr:from>
    <xdr:to>
      <xdr:col>6</xdr:col>
      <xdr:colOff>781052</xdr:colOff>
      <xdr:row>4</xdr:row>
      <xdr:rowOff>25977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14" y="233794"/>
          <a:ext cx="6042315" cy="55418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240819</xdr:colOff>
      <xdr:row>47</xdr:row>
      <xdr:rowOff>22301</xdr:rowOff>
    </xdr:from>
    <xdr:to>
      <xdr:col>0</xdr:col>
      <xdr:colOff>877360</xdr:colOff>
      <xdr:row>48</xdr:row>
      <xdr:rowOff>87972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819" y="8785301"/>
          <a:ext cx="636541" cy="256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25977</xdr:colOff>
      <xdr:row>46</xdr:row>
      <xdr:rowOff>171252</xdr:rowOff>
    </xdr:from>
    <xdr:to>
      <xdr:col>6</xdr:col>
      <xdr:colOff>190205</xdr:colOff>
      <xdr:row>49</xdr:row>
      <xdr:rowOff>34634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3677" y="8743752"/>
          <a:ext cx="888128" cy="4348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2494977</xdr:colOff>
      <xdr:row>46</xdr:row>
      <xdr:rowOff>176446</xdr:rowOff>
    </xdr:from>
    <xdr:to>
      <xdr:col>0</xdr:col>
      <xdr:colOff>2675659</xdr:colOff>
      <xdr:row>49</xdr:row>
      <xdr:rowOff>152979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94977" y="8748946"/>
          <a:ext cx="180682" cy="548033"/>
        </a:xfrm>
        <a:prstGeom prst="rect">
          <a:avLst/>
        </a:prstGeom>
      </xdr:spPr>
    </xdr:pic>
    <xdr:clientData/>
  </xdr:twoCellAnchor>
  <xdr:twoCellAnchor editAs="oneCell">
    <xdr:from>
      <xdr:col>0</xdr:col>
      <xdr:colOff>60614</xdr:colOff>
      <xdr:row>1</xdr:row>
      <xdr:rowOff>43294</xdr:rowOff>
    </xdr:from>
    <xdr:to>
      <xdr:col>7</xdr:col>
      <xdr:colOff>25979</xdr:colOff>
      <xdr:row>4</xdr:row>
      <xdr:rowOff>25977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14" y="233794"/>
          <a:ext cx="6042315" cy="55418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319472</xdr:colOff>
      <xdr:row>47</xdr:row>
      <xdr:rowOff>53328</xdr:rowOff>
    </xdr:from>
    <xdr:to>
      <xdr:col>0</xdr:col>
      <xdr:colOff>1033224</xdr:colOff>
      <xdr:row>48</xdr:row>
      <xdr:rowOff>118999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472" y="8816328"/>
          <a:ext cx="713752" cy="256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44738</xdr:colOff>
      <xdr:row>47</xdr:row>
      <xdr:rowOff>16833</xdr:rowOff>
    </xdr:from>
    <xdr:to>
      <xdr:col>4</xdr:col>
      <xdr:colOff>744385</xdr:colOff>
      <xdr:row>49</xdr:row>
      <xdr:rowOff>70715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6713" y="8779833"/>
          <a:ext cx="696184" cy="4348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6930</xdr:colOff>
      <xdr:row>46</xdr:row>
      <xdr:rowOff>168509</xdr:rowOff>
    </xdr:from>
    <xdr:to>
      <xdr:col>1</xdr:col>
      <xdr:colOff>187612</xdr:colOff>
      <xdr:row>49</xdr:row>
      <xdr:rowOff>145042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16780" y="8741009"/>
          <a:ext cx="180682" cy="548033"/>
        </a:xfrm>
        <a:prstGeom prst="rect">
          <a:avLst/>
        </a:prstGeom>
      </xdr:spPr>
    </xdr:pic>
    <xdr:clientData/>
  </xdr:twoCellAnchor>
  <xdr:twoCellAnchor editAs="oneCell">
    <xdr:from>
      <xdr:col>0</xdr:col>
      <xdr:colOff>60614</xdr:colOff>
      <xdr:row>1</xdr:row>
      <xdr:rowOff>43294</xdr:rowOff>
    </xdr:from>
    <xdr:to>
      <xdr:col>6</xdr:col>
      <xdr:colOff>873414</xdr:colOff>
      <xdr:row>4</xdr:row>
      <xdr:rowOff>25977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14" y="233794"/>
          <a:ext cx="5981411" cy="55418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60614</xdr:colOff>
      <xdr:row>1</xdr:row>
      <xdr:rowOff>43294</xdr:rowOff>
    </xdr:from>
    <xdr:to>
      <xdr:col>7</xdr:col>
      <xdr:colOff>50800</xdr:colOff>
      <xdr:row>4</xdr:row>
      <xdr:rowOff>25977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14" y="233794"/>
          <a:ext cx="5981411" cy="554183"/>
        </a:xfrm>
        <a:prstGeom prst="rect">
          <a:avLst/>
        </a:prstGeom>
      </xdr:spPr>
    </xdr:pic>
    <xdr:clientData/>
  </xdr:twoCellAnchor>
  <xdr:twoCellAnchor editAs="oneCell">
    <xdr:from>
      <xdr:col>0</xdr:col>
      <xdr:colOff>303069</xdr:colOff>
      <xdr:row>46</xdr:row>
      <xdr:rowOff>0</xdr:rowOff>
    </xdr:from>
    <xdr:to>
      <xdr:col>0</xdr:col>
      <xdr:colOff>1230575</xdr:colOff>
      <xdr:row>49</xdr:row>
      <xdr:rowOff>165599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58922">
          <a:off x="303069" y="8572500"/>
          <a:ext cx="927506" cy="737099"/>
        </a:xfrm>
        <a:prstGeom prst="rect">
          <a:avLst/>
        </a:prstGeom>
      </xdr:spPr>
    </xdr:pic>
    <xdr:clientData/>
  </xdr:twoCellAnchor>
  <xdr:twoCellAnchor editAs="oneCell">
    <xdr:from>
      <xdr:col>0</xdr:col>
      <xdr:colOff>2138795</xdr:colOff>
      <xdr:row>47</xdr:row>
      <xdr:rowOff>17318</xdr:rowOff>
    </xdr:from>
    <xdr:to>
      <xdr:col>1</xdr:col>
      <xdr:colOff>122866</xdr:colOff>
      <xdr:row>48</xdr:row>
      <xdr:rowOff>129885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8795" y="8780318"/>
          <a:ext cx="590457" cy="303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372341</xdr:colOff>
      <xdr:row>47</xdr:row>
      <xdr:rowOff>8660</xdr:rowOff>
    </xdr:from>
    <xdr:to>
      <xdr:col>2</xdr:col>
      <xdr:colOff>528204</xdr:colOff>
      <xdr:row>49</xdr:row>
      <xdr:rowOff>175694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75364" y="8771660"/>
          <a:ext cx="155863" cy="548034"/>
        </a:xfrm>
        <a:prstGeom prst="rect">
          <a:avLst/>
        </a:prstGeom>
      </xdr:spPr>
    </xdr:pic>
    <xdr:clientData/>
  </xdr:twoCellAnchor>
  <xdr:twoCellAnchor editAs="oneCell">
    <xdr:from>
      <xdr:col>6</xdr:col>
      <xdr:colOff>129886</xdr:colOff>
      <xdr:row>46</xdr:row>
      <xdr:rowOff>155863</xdr:rowOff>
    </xdr:from>
    <xdr:to>
      <xdr:col>6</xdr:col>
      <xdr:colOff>770659</xdr:colOff>
      <xdr:row>49</xdr:row>
      <xdr:rowOff>95250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1431" y="8728363"/>
          <a:ext cx="640773" cy="5108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60614</xdr:colOff>
      <xdr:row>1</xdr:row>
      <xdr:rowOff>43294</xdr:rowOff>
    </xdr:from>
    <xdr:to>
      <xdr:col>7</xdr:col>
      <xdr:colOff>50800</xdr:colOff>
      <xdr:row>4</xdr:row>
      <xdr:rowOff>25977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14" y="233794"/>
          <a:ext cx="5981411" cy="554183"/>
        </a:xfrm>
        <a:prstGeom prst="rect">
          <a:avLst/>
        </a:prstGeom>
      </xdr:spPr>
    </xdr:pic>
    <xdr:clientData/>
  </xdr:twoCellAnchor>
  <xdr:twoCellAnchor editAs="oneCell">
    <xdr:from>
      <xdr:col>0</xdr:col>
      <xdr:colOff>277091</xdr:colOff>
      <xdr:row>45</xdr:row>
      <xdr:rowOff>155864</xdr:rowOff>
    </xdr:from>
    <xdr:to>
      <xdr:col>0</xdr:col>
      <xdr:colOff>1204597</xdr:colOff>
      <xdr:row>49</xdr:row>
      <xdr:rowOff>148281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58922">
          <a:off x="277091" y="8555182"/>
          <a:ext cx="927506" cy="737099"/>
        </a:xfrm>
        <a:prstGeom prst="rect">
          <a:avLst/>
        </a:prstGeom>
      </xdr:spPr>
    </xdr:pic>
    <xdr:clientData/>
  </xdr:twoCellAnchor>
  <xdr:twoCellAnchor editAs="oneCell">
    <xdr:from>
      <xdr:col>0</xdr:col>
      <xdr:colOff>2164773</xdr:colOff>
      <xdr:row>47</xdr:row>
      <xdr:rowOff>34637</xdr:rowOff>
    </xdr:from>
    <xdr:to>
      <xdr:col>1</xdr:col>
      <xdr:colOff>148844</xdr:colOff>
      <xdr:row>48</xdr:row>
      <xdr:rowOff>147204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4773" y="8797637"/>
          <a:ext cx="590457" cy="303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441613</xdr:colOff>
      <xdr:row>46</xdr:row>
      <xdr:rowOff>181841</xdr:rowOff>
    </xdr:from>
    <xdr:to>
      <xdr:col>2</xdr:col>
      <xdr:colOff>597476</xdr:colOff>
      <xdr:row>49</xdr:row>
      <xdr:rowOff>158375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44636" y="8754341"/>
          <a:ext cx="155863" cy="548034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190501</xdr:colOff>
      <xdr:row>46</xdr:row>
      <xdr:rowOff>173182</xdr:rowOff>
    </xdr:from>
    <xdr:to>
      <xdr:col>6</xdr:col>
      <xdr:colOff>831274</xdr:colOff>
      <xdr:row>49</xdr:row>
      <xdr:rowOff>112569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2046" y="8745682"/>
          <a:ext cx="640773" cy="5108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Z562"/>
  <sheetViews>
    <sheetView topLeftCell="A539" workbookViewId="0">
      <selection activeCell="G556" sqref="G556"/>
    </sheetView>
  </sheetViews>
  <sheetFormatPr defaultRowHeight="12.75" x14ac:dyDescent="0.2"/>
  <cols>
    <col min="1" max="1" width="35" style="30" customWidth="1"/>
    <col min="2" max="2" width="12.140625" style="30" customWidth="1"/>
    <col min="3" max="3" width="11.42578125" style="30" customWidth="1"/>
    <col min="4" max="4" width="5.28515625" style="30" customWidth="1"/>
    <col min="5" max="5" width="10.7109375" style="30" customWidth="1"/>
    <col min="6" max="6" width="11.85546875" style="30" hidden="1" customWidth="1"/>
    <col min="7" max="7" width="13.85546875" style="30" customWidth="1"/>
    <col min="8" max="8" width="1.28515625" style="30" customWidth="1"/>
    <col min="9" max="9" width="10.5703125" style="30" bestFit="1" customWidth="1"/>
    <col min="10" max="10" width="12.42578125" style="30" bestFit="1" customWidth="1"/>
    <col min="11" max="11" width="12.7109375" style="30" bestFit="1" customWidth="1"/>
    <col min="12" max="12" width="15.28515625" style="80" bestFit="1" customWidth="1"/>
    <col min="13" max="13" width="15.5703125" style="30" customWidth="1"/>
    <col min="14" max="14" width="10" style="30" customWidth="1"/>
    <col min="15" max="15" width="18.28515625" style="30" customWidth="1"/>
    <col min="16" max="16" width="13.85546875" style="30" customWidth="1"/>
    <col min="17" max="17" width="10.5703125" style="30" bestFit="1" customWidth="1"/>
    <col min="18" max="18" width="12.140625" style="30" customWidth="1"/>
    <col min="19" max="19" width="12.85546875" style="30" customWidth="1"/>
    <col min="20" max="20" width="12.28515625" style="30" customWidth="1"/>
    <col min="21" max="21" width="12.5703125" style="30" customWidth="1"/>
    <col min="22" max="22" width="9.140625" style="30"/>
    <col min="23" max="23" width="16.42578125" style="30" customWidth="1"/>
    <col min="24" max="24" width="17.5703125" style="30" customWidth="1"/>
    <col min="25" max="25" width="16" style="30" customWidth="1"/>
    <col min="26" max="26" width="11.28515625" style="30" bestFit="1" customWidth="1"/>
    <col min="27" max="16384" width="9.140625" style="30"/>
  </cols>
  <sheetData>
    <row r="1" spans="1:25" x14ac:dyDescent="0.2">
      <c r="A1" s="79" t="s">
        <v>64</v>
      </c>
      <c r="B1" s="79"/>
      <c r="C1" s="79"/>
      <c r="D1" s="79"/>
      <c r="E1" s="79"/>
      <c r="F1" s="79"/>
      <c r="G1" s="79"/>
      <c r="H1" s="79"/>
    </row>
    <row r="2" spans="1:25" x14ac:dyDescent="0.2">
      <c r="A2" s="79" t="s">
        <v>0</v>
      </c>
      <c r="B2" s="79"/>
      <c r="C2" s="79"/>
      <c r="D2" s="79"/>
      <c r="E2" s="79"/>
      <c r="F2" s="79"/>
      <c r="G2" s="79"/>
      <c r="H2" s="79"/>
    </row>
    <row r="3" spans="1:25" x14ac:dyDescent="0.2">
      <c r="A3" s="79"/>
      <c r="B3" s="79"/>
      <c r="C3" s="79"/>
      <c r="D3" s="79"/>
      <c r="E3" s="79"/>
      <c r="F3" s="79"/>
      <c r="G3" s="79"/>
      <c r="H3" s="79"/>
    </row>
    <row r="4" spans="1:25" x14ac:dyDescent="0.2">
      <c r="A4" s="81" t="s">
        <v>60</v>
      </c>
      <c r="B4" s="79"/>
      <c r="C4" s="79"/>
      <c r="D4" s="79"/>
      <c r="E4" s="79"/>
      <c r="F4" s="79"/>
      <c r="G4" s="79"/>
      <c r="H4" s="79"/>
      <c r="W4" s="34" t="s">
        <v>143</v>
      </c>
      <c r="X4" s="34" t="s">
        <v>144</v>
      </c>
      <c r="Y4" s="34" t="s">
        <v>1</v>
      </c>
    </row>
    <row r="5" spans="1:25" x14ac:dyDescent="0.2">
      <c r="A5" s="82" t="s">
        <v>53</v>
      </c>
      <c r="B5" s="79"/>
      <c r="C5" s="79"/>
      <c r="D5" s="79"/>
      <c r="E5" s="79"/>
      <c r="F5" s="79"/>
      <c r="G5" s="79"/>
      <c r="H5" s="79"/>
      <c r="W5" s="83" t="s">
        <v>145</v>
      </c>
      <c r="X5" s="83" t="s">
        <v>145</v>
      </c>
      <c r="Y5" s="83" t="s">
        <v>145</v>
      </c>
    </row>
    <row r="6" spans="1:25" x14ac:dyDescent="0.2">
      <c r="A6" s="82"/>
      <c r="B6" s="79"/>
      <c r="C6" s="79"/>
      <c r="D6" s="79"/>
      <c r="E6" s="79"/>
      <c r="F6" s="79"/>
      <c r="G6" s="79"/>
      <c r="H6" s="79"/>
      <c r="L6" s="84" t="s">
        <v>146</v>
      </c>
      <c r="M6" s="73" t="s">
        <v>6</v>
      </c>
      <c r="N6" s="73"/>
      <c r="O6" s="84" t="s">
        <v>146</v>
      </c>
      <c r="P6" s="73" t="s">
        <v>6</v>
      </c>
      <c r="R6" s="85" t="s">
        <v>147</v>
      </c>
      <c r="S6" s="85" t="s">
        <v>147</v>
      </c>
      <c r="T6" s="85" t="s">
        <v>147</v>
      </c>
      <c r="U6" s="85" t="s">
        <v>147</v>
      </c>
      <c r="W6" s="86">
        <f>0.2*700</f>
        <v>140</v>
      </c>
      <c r="X6" s="86">
        <f>0.31*700</f>
        <v>217</v>
      </c>
      <c r="Y6" s="86">
        <f>0.37*2100</f>
        <v>777</v>
      </c>
    </row>
    <row r="7" spans="1:25" ht="16.5" customHeight="1" x14ac:dyDescent="0.2">
      <c r="A7" s="955"/>
      <c r="B7" s="956"/>
      <c r="C7" s="87" t="s">
        <v>6</v>
      </c>
      <c r="D7" s="957" t="s">
        <v>47</v>
      </c>
      <c r="E7" s="958"/>
      <c r="F7" s="959"/>
      <c r="G7" s="957" t="s">
        <v>13</v>
      </c>
      <c r="H7" s="959"/>
      <c r="I7" s="87" t="s">
        <v>6</v>
      </c>
      <c r="J7" s="87" t="s">
        <v>47</v>
      </c>
      <c r="K7" s="87" t="s">
        <v>13</v>
      </c>
      <c r="L7" s="80" t="s">
        <v>130</v>
      </c>
      <c r="M7" s="88" t="s">
        <v>148</v>
      </c>
      <c r="O7" s="80" t="s">
        <v>130</v>
      </c>
      <c r="P7" s="80" t="s">
        <v>130</v>
      </c>
      <c r="R7" s="80" t="s">
        <v>130</v>
      </c>
      <c r="S7" s="80" t="s">
        <v>130</v>
      </c>
      <c r="T7" s="80" t="s">
        <v>130</v>
      </c>
      <c r="U7" s="80" t="s">
        <v>130</v>
      </c>
      <c r="W7" s="89" t="s">
        <v>130</v>
      </c>
      <c r="X7" s="89" t="s">
        <v>130</v>
      </c>
      <c r="Y7" s="89" t="s">
        <v>130</v>
      </c>
    </row>
    <row r="8" spans="1:25" x14ac:dyDescent="0.2">
      <c r="A8" s="90" t="s">
        <v>149</v>
      </c>
      <c r="B8" s="79"/>
      <c r="C8" s="91"/>
      <c r="D8" s="91"/>
      <c r="E8" s="91"/>
      <c r="F8" s="91"/>
      <c r="G8" s="91"/>
      <c r="H8" s="92"/>
      <c r="L8" s="93">
        <v>6</v>
      </c>
      <c r="M8" s="93">
        <v>6</v>
      </c>
      <c r="O8" s="93">
        <v>20</v>
      </c>
      <c r="P8" s="93">
        <v>101</v>
      </c>
      <c r="R8" s="93">
        <v>101</v>
      </c>
      <c r="S8" s="93">
        <v>25</v>
      </c>
      <c r="T8" s="93">
        <v>1007</v>
      </c>
      <c r="U8" s="93">
        <v>1004</v>
      </c>
      <c r="W8" s="94">
        <f>(892-880)*700</f>
        <v>8400</v>
      </c>
      <c r="X8" s="94">
        <f>(949-931)*700</f>
        <v>12600</v>
      </c>
      <c r="Y8" s="94">
        <f>(2467-2376)*2100</f>
        <v>191100</v>
      </c>
    </row>
    <row r="9" spans="1:25" x14ac:dyDescent="0.2">
      <c r="A9" s="63" t="s">
        <v>150</v>
      </c>
      <c r="B9" s="79" t="s">
        <v>135</v>
      </c>
      <c r="C9" s="95" t="e">
        <f>C13-C10-C11-C12</f>
        <v>#REF!</v>
      </c>
      <c r="D9" s="95"/>
      <c r="E9" s="95" t="e">
        <f>E13-E10-E11-E12</f>
        <v>#REF!</v>
      </c>
      <c r="F9" s="95"/>
      <c r="G9" s="95" t="e">
        <f>G13-G10-G11-G12</f>
        <v>#REF!</v>
      </c>
      <c r="H9" s="96"/>
      <c r="I9" s="30">
        <v>4.0156999999999998</v>
      </c>
      <c r="J9" s="64">
        <v>4.0156999999999998</v>
      </c>
      <c r="K9" s="64">
        <v>4.0156999999999998</v>
      </c>
      <c r="L9" s="80">
        <f>L8*(I9+I11+I12)</f>
        <v>27.730199999999996</v>
      </c>
      <c r="M9" s="80">
        <f>M8*(I9+I11+I12)</f>
        <v>27.730199999999996</v>
      </c>
      <c r="O9" s="80">
        <f>O8*(I9+I11+I12)</f>
        <v>92.433999999999997</v>
      </c>
      <c r="P9" s="80">
        <f>P8*(I9+I11+I12)</f>
        <v>466.79169999999999</v>
      </c>
      <c r="R9" s="80">
        <f>R8*(J9+J11+J12)</f>
        <v>466.79169999999999</v>
      </c>
      <c r="S9" s="80">
        <f>S8*(J9+J11+J12)</f>
        <v>115.54249999999999</v>
      </c>
      <c r="T9" s="80">
        <f>T8*(J9+J11+J12)</f>
        <v>4654.0518999999995</v>
      </c>
      <c r="U9" s="80">
        <f>U8*(J9+J11+J12)</f>
        <v>4640.1867999999995</v>
      </c>
      <c r="W9" s="97">
        <f>W8*(K9+K11+K12)</f>
        <v>38822.28</v>
      </c>
      <c r="X9" s="97">
        <f>X8*(K9+K11+K12)</f>
        <v>58233.42</v>
      </c>
      <c r="Y9" s="97">
        <f>Y8*(K9+K11+K12)</f>
        <v>883206.87</v>
      </c>
    </row>
    <row r="10" spans="1:25" x14ac:dyDescent="0.2">
      <c r="A10" s="63" t="s">
        <v>151</v>
      </c>
      <c r="B10" s="79" t="s">
        <v>135</v>
      </c>
      <c r="C10" s="95">
        <v>1.77E-2</v>
      </c>
      <c r="D10" s="95"/>
      <c r="E10" s="95">
        <v>1.77E-2</v>
      </c>
      <c r="F10" s="95"/>
      <c r="G10" s="95">
        <v>1.77E-2</v>
      </c>
      <c r="H10" s="98"/>
      <c r="I10" s="30">
        <v>1.77E-2</v>
      </c>
      <c r="J10" s="64">
        <v>1.77E-2</v>
      </c>
      <c r="K10" s="30">
        <v>1.77E-2</v>
      </c>
      <c r="L10" s="80">
        <f>L8*I10</f>
        <v>0.1062</v>
      </c>
      <c r="M10" s="80">
        <f>M8*I10</f>
        <v>0.1062</v>
      </c>
      <c r="O10" s="80">
        <f>O8*I10</f>
        <v>0.35399999999999998</v>
      </c>
      <c r="P10" s="80">
        <f>P8*I10</f>
        <v>1.7877000000000001</v>
      </c>
      <c r="R10" s="80">
        <f>R8*J10</f>
        <v>1.7877000000000001</v>
      </c>
      <c r="S10" s="80">
        <f>S8*J10</f>
        <v>0.4425</v>
      </c>
      <c r="T10" s="80">
        <f>T8*J10</f>
        <v>17.823900000000002</v>
      </c>
      <c r="U10" s="80">
        <f>U8*J10</f>
        <v>17.770800000000001</v>
      </c>
      <c r="W10" s="97">
        <f>W8*K10</f>
        <v>148.68</v>
      </c>
      <c r="X10" s="97">
        <f>X8*K10</f>
        <v>223.02</v>
      </c>
      <c r="Y10" s="97">
        <f>Y8*K10</f>
        <v>3382.4700000000003</v>
      </c>
    </row>
    <row r="11" spans="1:25" x14ac:dyDescent="0.2">
      <c r="A11" s="63" t="s">
        <v>152</v>
      </c>
      <c r="B11" s="79" t="s">
        <v>135</v>
      </c>
      <c r="C11" s="95">
        <v>0.48470000000000002</v>
      </c>
      <c r="D11" s="95"/>
      <c r="E11" s="95">
        <v>0.48470000000000002</v>
      </c>
      <c r="F11" s="95"/>
      <c r="G11" s="95">
        <v>0.48470000000000002</v>
      </c>
      <c r="H11" s="98"/>
      <c r="I11" s="30">
        <v>0.48470000000000002</v>
      </c>
      <c r="J11" s="64">
        <v>0.48470000000000002</v>
      </c>
      <c r="K11" s="64">
        <v>0.48470000000000002</v>
      </c>
      <c r="M11" s="80"/>
      <c r="O11" s="80"/>
      <c r="P11" s="80"/>
      <c r="R11" s="80"/>
      <c r="S11" s="80"/>
      <c r="T11" s="80"/>
      <c r="U11" s="80"/>
      <c r="W11" s="97"/>
      <c r="X11" s="97"/>
      <c r="Y11" s="97"/>
    </row>
    <row r="12" spans="1:25" x14ac:dyDescent="0.2">
      <c r="A12" s="63" t="s">
        <v>153</v>
      </c>
      <c r="B12" s="79" t="s">
        <v>135</v>
      </c>
      <c r="C12" s="95">
        <v>0.12130000000000001</v>
      </c>
      <c r="D12" s="95"/>
      <c r="E12" s="95">
        <v>0.12130000000000001</v>
      </c>
      <c r="F12" s="95"/>
      <c r="G12" s="95">
        <v>0.12130000000000001</v>
      </c>
      <c r="H12" s="98"/>
      <c r="I12" s="30">
        <v>0.12130000000000001</v>
      </c>
      <c r="J12" s="64">
        <v>0.12130000000000001</v>
      </c>
      <c r="K12" s="64">
        <v>0.12130000000000001</v>
      </c>
      <c r="M12" s="80"/>
      <c r="O12" s="80"/>
      <c r="P12" s="80"/>
      <c r="R12" s="80"/>
      <c r="S12" s="80"/>
      <c r="T12" s="80"/>
      <c r="U12" s="80"/>
      <c r="W12" s="97"/>
      <c r="X12" s="97"/>
      <c r="Y12" s="97"/>
    </row>
    <row r="13" spans="1:25" x14ac:dyDescent="0.2">
      <c r="A13" s="63" t="s">
        <v>154</v>
      </c>
      <c r="B13" s="79"/>
      <c r="C13" s="99" t="e">
        <f>#REF!</f>
        <v>#REF!</v>
      </c>
      <c r="D13" s="99"/>
      <c r="E13" s="99" t="e">
        <f>C13</f>
        <v>#REF!</v>
      </c>
      <c r="F13" s="99"/>
      <c r="G13" s="99" t="e">
        <f>C13</f>
        <v>#REF!</v>
      </c>
      <c r="H13" s="100"/>
      <c r="M13" s="80"/>
      <c r="O13" s="80"/>
      <c r="P13" s="80"/>
      <c r="R13" s="80"/>
      <c r="S13" s="80"/>
      <c r="T13" s="80"/>
      <c r="U13" s="80"/>
      <c r="W13" s="97"/>
      <c r="X13" s="97"/>
      <c r="Y13" s="97"/>
    </row>
    <row r="14" spans="1:25" x14ac:dyDescent="0.2">
      <c r="A14" s="90" t="s">
        <v>155</v>
      </c>
      <c r="B14" s="79" t="s">
        <v>135</v>
      </c>
      <c r="C14" s="95">
        <v>-0.3</v>
      </c>
      <c r="D14" s="95"/>
      <c r="E14" s="95"/>
      <c r="F14" s="95"/>
      <c r="G14" s="95"/>
      <c r="H14" s="96"/>
      <c r="I14" s="64">
        <v>-0.3</v>
      </c>
      <c r="J14" s="101"/>
      <c r="K14" s="101"/>
      <c r="L14" s="80">
        <f>L8*I14</f>
        <v>-1.7999999999999998</v>
      </c>
      <c r="M14" s="80">
        <f>M8*I14</f>
        <v>-1.7999999999999998</v>
      </c>
      <c r="O14" s="102">
        <f>O8*I14</f>
        <v>-6</v>
      </c>
      <c r="P14" s="102">
        <f>P8*I14</f>
        <v>-30.299999999999997</v>
      </c>
      <c r="R14" s="102">
        <f>R8*J14</f>
        <v>0</v>
      </c>
      <c r="S14" s="102">
        <f>S8*K14</f>
        <v>0</v>
      </c>
      <c r="T14" s="102">
        <f>T8*J14</f>
        <v>0</v>
      </c>
      <c r="U14" s="102">
        <f>U8*J14</f>
        <v>0</v>
      </c>
      <c r="W14" s="103">
        <f>W8*K14</f>
        <v>0</v>
      </c>
      <c r="X14" s="103">
        <f>X8*K14</f>
        <v>0</v>
      </c>
      <c r="Y14" s="103">
        <f>Y8*K14</f>
        <v>0</v>
      </c>
    </row>
    <row r="15" spans="1:25" x14ac:dyDescent="0.2">
      <c r="A15" s="90" t="s">
        <v>156</v>
      </c>
      <c r="B15" s="79"/>
      <c r="C15" s="95"/>
      <c r="D15" s="95"/>
      <c r="E15" s="95"/>
      <c r="F15" s="95"/>
      <c r="G15" s="95"/>
      <c r="H15" s="96"/>
      <c r="M15" s="80"/>
      <c r="O15" s="80"/>
      <c r="P15" s="80"/>
      <c r="R15" s="80"/>
      <c r="S15" s="80"/>
      <c r="T15" s="80"/>
      <c r="U15" s="80"/>
      <c r="W15" s="97"/>
      <c r="X15" s="97"/>
      <c r="Y15" s="97"/>
    </row>
    <row r="16" spans="1:25" x14ac:dyDescent="0.2">
      <c r="A16" s="63" t="s">
        <v>157</v>
      </c>
      <c r="B16" s="79" t="s">
        <v>158</v>
      </c>
      <c r="C16" s="95"/>
      <c r="D16" s="95"/>
      <c r="E16" s="95"/>
      <c r="F16" s="95"/>
      <c r="G16" s="95" t="e">
        <f>#REF!</f>
        <v>#REF!</v>
      </c>
      <c r="H16" s="98"/>
      <c r="K16" s="64">
        <v>225.13220000000001</v>
      </c>
      <c r="M16" s="80"/>
      <c r="O16" s="80"/>
      <c r="P16" s="80"/>
      <c r="R16" s="80"/>
      <c r="S16" s="80"/>
      <c r="T16" s="80"/>
      <c r="U16" s="80"/>
      <c r="W16" s="104">
        <f>W6*K16</f>
        <v>31518.508000000002</v>
      </c>
      <c r="X16" s="97">
        <f>X6*K16</f>
        <v>48853.687400000003</v>
      </c>
      <c r="Y16" s="97">
        <f>Y6*K16</f>
        <v>174927.7194</v>
      </c>
    </row>
    <row r="17" spans="1:25" x14ac:dyDescent="0.2">
      <c r="A17" s="63" t="s">
        <v>159</v>
      </c>
      <c r="B17" s="79" t="s">
        <v>135</v>
      </c>
      <c r="C17" s="95" t="e">
        <f>#REF!</f>
        <v>#REF!</v>
      </c>
      <c r="D17" s="95"/>
      <c r="E17" s="95" t="e">
        <f>#REF!</f>
        <v>#REF!</v>
      </c>
      <c r="F17" s="95"/>
      <c r="G17" s="95"/>
      <c r="H17" s="98"/>
      <c r="I17" s="30">
        <v>0.88190000000000002</v>
      </c>
      <c r="J17" s="64">
        <v>0.84189999999999998</v>
      </c>
      <c r="L17" s="80">
        <f>L8*I17</f>
        <v>5.2914000000000003</v>
      </c>
      <c r="M17" s="80">
        <f>M8*I17</f>
        <v>5.2914000000000003</v>
      </c>
      <c r="O17" s="80">
        <f>O8*I17</f>
        <v>17.638000000000002</v>
      </c>
      <c r="P17" s="80">
        <f>P8*I17</f>
        <v>89.071899999999999</v>
      </c>
      <c r="R17" s="80">
        <f>R8*J17</f>
        <v>85.031899999999993</v>
      </c>
      <c r="S17" s="80">
        <f>S8*J17</f>
        <v>21.047499999999999</v>
      </c>
      <c r="T17" s="80">
        <f>T8*J17</f>
        <v>847.79329999999993</v>
      </c>
      <c r="U17" s="80">
        <f>U8*J17</f>
        <v>845.26760000000002</v>
      </c>
      <c r="W17" s="97">
        <f>W8*K17</f>
        <v>0</v>
      </c>
      <c r="X17" s="97">
        <f>X8*K17</f>
        <v>0</v>
      </c>
      <c r="Y17" s="97">
        <f>Y8*K17</f>
        <v>0</v>
      </c>
    </row>
    <row r="18" spans="1:25" x14ac:dyDescent="0.2">
      <c r="A18" s="90" t="s">
        <v>160</v>
      </c>
      <c r="B18" s="79" t="s">
        <v>135</v>
      </c>
      <c r="C18" s="95" t="e">
        <f>#REF!</f>
        <v>#REF!</v>
      </c>
      <c r="D18" s="95"/>
      <c r="E18" s="95" t="e">
        <f>#REF!</f>
        <v>#REF!</v>
      </c>
      <c r="F18" s="95"/>
      <c r="G18" s="95">
        <v>0</v>
      </c>
      <c r="H18" s="98"/>
      <c r="I18" s="30">
        <v>0.72109999999999996</v>
      </c>
      <c r="J18" s="30">
        <v>0.71589999999999998</v>
      </c>
      <c r="K18" s="30">
        <v>0</v>
      </c>
      <c r="L18" s="80">
        <f>L8*I18</f>
        <v>4.3266</v>
      </c>
      <c r="M18" s="80">
        <f>M8*I18</f>
        <v>4.3266</v>
      </c>
      <c r="O18" s="80">
        <f>O8*I18</f>
        <v>14.421999999999999</v>
      </c>
      <c r="P18" s="80">
        <f>P8*I18</f>
        <v>72.831099999999992</v>
      </c>
      <c r="R18" s="80">
        <f>R8*J18</f>
        <v>72.305899999999994</v>
      </c>
      <c r="S18" s="80">
        <f>S8*J18</f>
        <v>17.897500000000001</v>
      </c>
      <c r="T18" s="80">
        <f>T8*J18</f>
        <v>720.91129999999998</v>
      </c>
      <c r="U18" s="80">
        <f>U8*J18</f>
        <v>718.7636</v>
      </c>
      <c r="W18" s="97">
        <f>W8*K18</f>
        <v>0</v>
      </c>
      <c r="X18" s="97">
        <f>X8*K18</f>
        <v>0</v>
      </c>
      <c r="Y18" s="97">
        <f>Y8*K18</f>
        <v>0</v>
      </c>
    </row>
    <row r="19" spans="1:25" x14ac:dyDescent="0.2">
      <c r="A19" s="63"/>
      <c r="B19" s="79"/>
      <c r="C19" s="95"/>
      <c r="D19" s="95"/>
      <c r="E19" s="95"/>
      <c r="F19" s="95"/>
      <c r="G19" s="95"/>
      <c r="H19" s="98"/>
      <c r="M19" s="80"/>
      <c r="O19" s="80"/>
      <c r="P19" s="80"/>
      <c r="R19" s="80"/>
      <c r="S19" s="80"/>
      <c r="T19" s="80"/>
      <c r="U19" s="80"/>
      <c r="W19" s="97"/>
      <c r="X19" s="97"/>
      <c r="Y19" s="97"/>
    </row>
    <row r="20" spans="1:25" x14ac:dyDescent="0.2">
      <c r="A20" s="90" t="s">
        <v>161</v>
      </c>
      <c r="B20" s="79"/>
      <c r="C20" s="95"/>
      <c r="D20" s="95"/>
      <c r="E20" s="95"/>
      <c r="F20" s="95"/>
      <c r="G20" s="95"/>
      <c r="H20" s="98"/>
      <c r="M20" s="80"/>
      <c r="O20" s="80"/>
      <c r="P20" s="80"/>
      <c r="R20" s="80"/>
      <c r="S20" s="80"/>
      <c r="T20" s="80"/>
      <c r="U20" s="80"/>
      <c r="W20" s="97"/>
      <c r="X20" s="97"/>
      <c r="Y20" s="97"/>
    </row>
    <row r="21" spans="1:25" x14ac:dyDescent="0.2">
      <c r="A21" s="63" t="s">
        <v>162</v>
      </c>
      <c r="B21" s="79" t="s">
        <v>158</v>
      </c>
      <c r="C21" s="95"/>
      <c r="D21" s="95"/>
      <c r="E21" s="95"/>
      <c r="F21" s="95"/>
      <c r="G21" s="95">
        <v>267.89999999999998</v>
      </c>
      <c r="H21" s="98"/>
      <c r="K21" s="30">
        <v>267.89999999999998</v>
      </c>
      <c r="M21" s="80"/>
      <c r="O21" s="80"/>
      <c r="P21" s="80"/>
      <c r="R21" s="80"/>
      <c r="S21" s="80"/>
      <c r="T21" s="80"/>
      <c r="U21" s="80"/>
      <c r="W21" s="105">
        <f>W6*K21</f>
        <v>37506</v>
      </c>
      <c r="X21" s="105">
        <f>X6*K21</f>
        <v>58134.299999999996</v>
      </c>
      <c r="Y21" s="105">
        <f>Y6*K21</f>
        <v>208158.3</v>
      </c>
    </row>
    <row r="22" spans="1:25" x14ac:dyDescent="0.2">
      <c r="A22" s="63" t="s">
        <v>163</v>
      </c>
      <c r="B22" s="79" t="s">
        <v>135</v>
      </c>
      <c r="C22" s="95">
        <v>0.84489999999999998</v>
      </c>
      <c r="D22" s="25"/>
      <c r="E22" s="25">
        <v>0.92589999999999995</v>
      </c>
      <c r="F22" s="95"/>
      <c r="G22" s="95"/>
      <c r="H22" s="98"/>
      <c r="I22" s="30">
        <v>0.84489999999999998</v>
      </c>
      <c r="J22" s="30">
        <v>0.92589999999999995</v>
      </c>
      <c r="L22" s="80">
        <f>L8*I22</f>
        <v>5.0693999999999999</v>
      </c>
      <c r="M22" s="80">
        <f>M8*I22</f>
        <v>5.0693999999999999</v>
      </c>
      <c r="O22" s="102">
        <f>O8*I22</f>
        <v>16.898</v>
      </c>
      <c r="P22" s="102">
        <f>P8*I22</f>
        <v>85.334900000000005</v>
      </c>
      <c r="R22" s="102">
        <f>R8*J22</f>
        <v>93.515899999999988</v>
      </c>
      <c r="S22" s="102">
        <f>S8*J22</f>
        <v>23.147499999999997</v>
      </c>
      <c r="T22" s="102">
        <f>T8*J22</f>
        <v>932.3812999999999</v>
      </c>
      <c r="U22" s="102">
        <f>U8*J22</f>
        <v>929.60359999999991</v>
      </c>
      <c r="W22" s="103">
        <f>W8*K22</f>
        <v>0</v>
      </c>
      <c r="X22" s="103">
        <f>X8*K22</f>
        <v>0</v>
      </c>
      <c r="Y22" s="103">
        <f>Y8*K22</f>
        <v>0</v>
      </c>
    </row>
    <row r="23" spans="1:25" x14ac:dyDescent="0.2">
      <c r="A23" s="90" t="s">
        <v>164</v>
      </c>
      <c r="B23" s="79"/>
      <c r="C23" s="95"/>
      <c r="D23" s="25"/>
      <c r="E23" s="95"/>
      <c r="F23" s="95"/>
      <c r="G23" s="95"/>
      <c r="H23" s="98"/>
      <c r="M23" s="80"/>
      <c r="O23" s="102"/>
      <c r="P23" s="102"/>
      <c r="R23" s="102"/>
      <c r="S23" s="102"/>
      <c r="T23" s="102"/>
      <c r="U23" s="102"/>
      <c r="W23" s="103"/>
      <c r="X23" s="103"/>
      <c r="Y23" s="103"/>
    </row>
    <row r="24" spans="1:25" x14ac:dyDescent="0.2">
      <c r="A24" s="63" t="s">
        <v>165</v>
      </c>
      <c r="B24" s="79" t="s">
        <v>166</v>
      </c>
      <c r="C24" s="95"/>
      <c r="D24" s="25"/>
      <c r="E24" s="25">
        <v>40.15</v>
      </c>
      <c r="F24" s="95"/>
      <c r="G24" s="25">
        <v>40.15</v>
      </c>
      <c r="H24" s="98"/>
      <c r="J24" s="30">
        <v>40.15</v>
      </c>
      <c r="K24" s="30">
        <v>40.15</v>
      </c>
      <c r="M24" s="80"/>
      <c r="O24" s="102"/>
      <c r="P24" s="102"/>
      <c r="R24" s="102">
        <f>J24</f>
        <v>40.15</v>
      </c>
      <c r="S24" s="102">
        <f>$K$283</f>
        <v>0</v>
      </c>
      <c r="T24" s="102">
        <f>$K$283</f>
        <v>0</v>
      </c>
      <c r="U24" s="102">
        <f>$K$283</f>
        <v>0</v>
      </c>
      <c r="W24" s="103">
        <f>$K$283</f>
        <v>0</v>
      </c>
      <c r="X24" s="103">
        <f>$K$283</f>
        <v>0</v>
      </c>
      <c r="Y24" s="103">
        <f>$K$283</f>
        <v>0</v>
      </c>
    </row>
    <row r="25" spans="1:25" x14ac:dyDescent="0.2">
      <c r="A25" s="63" t="s">
        <v>167</v>
      </c>
      <c r="B25" s="79" t="s">
        <v>135</v>
      </c>
      <c r="C25" s="95">
        <v>0.7732</v>
      </c>
      <c r="D25" s="25"/>
      <c r="E25" s="95"/>
      <c r="F25" s="95"/>
      <c r="G25" s="95"/>
      <c r="H25" s="98"/>
      <c r="I25" s="30">
        <v>0.7732</v>
      </c>
      <c r="L25" s="80">
        <f>L8*I25</f>
        <v>4.6391999999999998</v>
      </c>
      <c r="M25" s="80">
        <f>M8*I25</f>
        <v>4.6391999999999998</v>
      </c>
      <c r="O25" s="102">
        <f>O8*I25</f>
        <v>15.464</v>
      </c>
      <c r="P25" s="102">
        <f>P8*I25</f>
        <v>78.093199999999996</v>
      </c>
      <c r="R25" s="102">
        <f>R8*J25</f>
        <v>0</v>
      </c>
      <c r="S25" s="102">
        <f>S8*K25</f>
        <v>0</v>
      </c>
      <c r="T25" s="102">
        <f>T8*J25</f>
        <v>0</v>
      </c>
      <c r="U25" s="102">
        <f>U8*J25</f>
        <v>0</v>
      </c>
      <c r="W25" s="103">
        <f>W8*K25</f>
        <v>0</v>
      </c>
      <c r="X25" s="103">
        <f>X8*K25</f>
        <v>0</v>
      </c>
      <c r="Y25" s="103">
        <f>Y8*K25</f>
        <v>0</v>
      </c>
    </row>
    <row r="26" spans="1:25" x14ac:dyDescent="0.2">
      <c r="A26" s="90" t="s">
        <v>168</v>
      </c>
      <c r="B26" s="79"/>
      <c r="C26" s="79"/>
      <c r="D26" s="25"/>
      <c r="E26" s="79"/>
      <c r="F26" s="79"/>
      <c r="G26" s="79"/>
      <c r="H26" s="98"/>
      <c r="M26" s="80"/>
      <c r="O26" s="102"/>
      <c r="P26" s="102"/>
      <c r="R26" s="102"/>
      <c r="S26" s="102"/>
      <c r="T26" s="102"/>
      <c r="U26" s="102"/>
      <c r="W26" s="103"/>
      <c r="X26" s="103"/>
      <c r="Y26" s="103"/>
    </row>
    <row r="27" spans="1:25" x14ac:dyDescent="0.2">
      <c r="A27" s="63" t="s">
        <v>169</v>
      </c>
      <c r="B27" s="79" t="s">
        <v>170</v>
      </c>
      <c r="C27" s="95">
        <v>5</v>
      </c>
      <c r="D27" s="25"/>
      <c r="E27" s="25">
        <v>28.72</v>
      </c>
      <c r="F27" s="79"/>
      <c r="G27" s="25">
        <v>28.72</v>
      </c>
      <c r="H27" s="98"/>
      <c r="I27" s="30">
        <v>5</v>
      </c>
      <c r="J27" s="30">
        <v>28.72</v>
      </c>
      <c r="K27" s="30">
        <v>28.72</v>
      </c>
      <c r="L27" s="80">
        <v>5</v>
      </c>
      <c r="M27" s="80">
        <v>5</v>
      </c>
      <c r="O27" s="102">
        <v>5</v>
      </c>
      <c r="P27" s="102">
        <v>5</v>
      </c>
      <c r="R27" s="102">
        <f>J27</f>
        <v>28.72</v>
      </c>
      <c r="S27" s="102">
        <f>$K$286</f>
        <v>0.68610000000000004</v>
      </c>
      <c r="T27" s="102">
        <f>$K$286</f>
        <v>0.68610000000000004</v>
      </c>
      <c r="U27" s="102">
        <f>$K$286</f>
        <v>0.68610000000000004</v>
      </c>
      <c r="W27" s="103">
        <f>$K$286</f>
        <v>0.68610000000000004</v>
      </c>
      <c r="X27" s="103">
        <f>$K$286</f>
        <v>0.68610000000000004</v>
      </c>
      <c r="Y27" s="103">
        <f>$K$286</f>
        <v>0.68610000000000004</v>
      </c>
    </row>
    <row r="28" spans="1:25" x14ac:dyDescent="0.2">
      <c r="A28" s="63" t="s">
        <v>171</v>
      </c>
      <c r="B28" s="79" t="s">
        <v>135</v>
      </c>
      <c r="C28" s="95">
        <v>0.45689999999999997</v>
      </c>
      <c r="D28" s="95"/>
      <c r="E28" s="95"/>
      <c r="F28" s="95"/>
      <c r="G28" s="95"/>
      <c r="H28" s="98"/>
      <c r="I28" s="30">
        <v>0.45689999999999997</v>
      </c>
      <c r="L28" s="80">
        <f>L8*I28</f>
        <v>2.7413999999999996</v>
      </c>
      <c r="M28" s="80">
        <f>M8*I28</f>
        <v>2.7413999999999996</v>
      </c>
      <c r="O28" s="102">
        <f>O8*I28</f>
        <v>9.1379999999999999</v>
      </c>
      <c r="P28" s="102">
        <f>P8*I28</f>
        <v>46.146899999999995</v>
      </c>
      <c r="R28" s="102"/>
      <c r="S28" s="102"/>
      <c r="T28" s="102"/>
      <c r="U28" s="102"/>
      <c r="W28" s="103"/>
      <c r="X28" s="103"/>
      <c r="Y28" s="103"/>
    </row>
    <row r="29" spans="1:25" x14ac:dyDescent="0.2">
      <c r="A29" s="90" t="s">
        <v>172</v>
      </c>
      <c r="B29" s="79" t="s">
        <v>135</v>
      </c>
      <c r="C29" s="95" t="e">
        <f>#REF!</f>
        <v>#REF!</v>
      </c>
      <c r="D29" s="25"/>
      <c r="E29" s="25" t="e">
        <f>C29</f>
        <v>#REF!</v>
      </c>
      <c r="F29" s="25"/>
      <c r="G29" s="25" t="e">
        <f>C29</f>
        <v>#REF!</v>
      </c>
      <c r="H29" s="98"/>
      <c r="I29" s="64">
        <v>0.1019</v>
      </c>
      <c r="J29" s="64">
        <v>0.1019</v>
      </c>
      <c r="K29" s="64">
        <v>0.1019</v>
      </c>
      <c r="L29" s="80">
        <f>-(L9+L10+L17+L18+L22+L25+L27+L28)*25%</f>
        <v>-13.726100000000001</v>
      </c>
      <c r="M29" s="80">
        <f>-(M9+M10+M17+M18+M22+M25+M27+M28)*25%</f>
        <v>-13.726100000000001</v>
      </c>
      <c r="O29" s="102">
        <f>O8*I29</f>
        <v>2.0380000000000003</v>
      </c>
      <c r="P29" s="102">
        <f>P8*I29</f>
        <v>10.2919</v>
      </c>
      <c r="R29" s="102">
        <f>R8*J29</f>
        <v>10.2919</v>
      </c>
      <c r="S29" s="102">
        <f>S8*J29</f>
        <v>2.5475000000000003</v>
      </c>
      <c r="T29" s="102">
        <f>T8*J29</f>
        <v>102.61330000000001</v>
      </c>
      <c r="U29" s="102">
        <f>U8*J29</f>
        <v>102.30760000000001</v>
      </c>
      <c r="W29" s="103">
        <f>W8*K29</f>
        <v>855.96</v>
      </c>
      <c r="X29" s="103">
        <f>X8*K29</f>
        <v>1283.94</v>
      </c>
      <c r="Y29" s="103">
        <f>Y8*K29</f>
        <v>19473.09</v>
      </c>
    </row>
    <row r="30" spans="1:25" x14ac:dyDescent="0.2">
      <c r="A30" s="90" t="s">
        <v>173</v>
      </c>
      <c r="B30" s="79"/>
      <c r="C30" s="95" t="e">
        <f>#REF!</f>
        <v>#REF!</v>
      </c>
      <c r="D30" s="25"/>
      <c r="E30" s="25" t="e">
        <f>C30</f>
        <v>#REF!</v>
      </c>
      <c r="F30" s="25"/>
      <c r="G30" s="25" t="e">
        <f>C30</f>
        <v>#REF!</v>
      </c>
      <c r="H30" s="98"/>
      <c r="I30" s="30">
        <v>1.4E-3</v>
      </c>
      <c r="J30" s="30">
        <v>1.4E-3</v>
      </c>
      <c r="K30" s="30">
        <v>1.4E-3</v>
      </c>
      <c r="L30" s="106">
        <f>L8*I30</f>
        <v>8.3999999999999995E-3</v>
      </c>
      <c r="M30" s="80"/>
      <c r="O30" s="80">
        <f>-(O9+O10+O17+O18+O22+O25+O27+O28+O29)*5%</f>
        <v>-8.6693000000000016</v>
      </c>
      <c r="P30" s="107">
        <f>P8*I30</f>
        <v>0.1414</v>
      </c>
      <c r="R30" s="107">
        <f>R8*J30</f>
        <v>0.1414</v>
      </c>
      <c r="S30" s="107">
        <f>S8*J30</f>
        <v>3.4999999999999996E-2</v>
      </c>
      <c r="T30" s="107">
        <f>T8*J30</f>
        <v>1.4097999999999999</v>
      </c>
      <c r="U30" s="107">
        <f>U8*J30</f>
        <v>1.4056</v>
      </c>
      <c r="W30" s="104">
        <f>W8*K30</f>
        <v>11.76</v>
      </c>
      <c r="X30" s="104">
        <f>X8*K30</f>
        <v>17.64</v>
      </c>
      <c r="Y30" s="104">
        <f>Y8*K30</f>
        <v>267.54000000000002</v>
      </c>
    </row>
    <row r="31" spans="1:25" x14ac:dyDescent="0.2">
      <c r="A31" s="90" t="s">
        <v>174</v>
      </c>
      <c r="B31" s="79"/>
      <c r="C31" s="95"/>
      <c r="D31" s="95"/>
      <c r="E31" s="95"/>
      <c r="F31" s="95"/>
      <c r="G31" s="95"/>
      <c r="H31" s="98"/>
      <c r="M31" s="80"/>
      <c r="O31" s="80"/>
      <c r="P31" s="80"/>
      <c r="R31" s="80"/>
      <c r="S31" s="80"/>
      <c r="T31" s="80"/>
      <c r="U31" s="80"/>
      <c r="W31" s="97"/>
      <c r="X31" s="97"/>
      <c r="Y31" s="97"/>
    </row>
    <row r="32" spans="1:25" x14ac:dyDescent="0.2">
      <c r="A32" s="63" t="s">
        <v>175</v>
      </c>
      <c r="B32" s="79" t="s">
        <v>135</v>
      </c>
      <c r="C32" s="95">
        <v>0.1163</v>
      </c>
      <c r="D32" s="95"/>
      <c r="E32" s="95">
        <v>0.1163</v>
      </c>
      <c r="F32" s="95"/>
      <c r="G32" s="25">
        <f>C32</f>
        <v>0.1163</v>
      </c>
      <c r="H32" s="98"/>
      <c r="I32" s="30">
        <v>0.1163</v>
      </c>
      <c r="J32" s="30">
        <v>0.1163</v>
      </c>
      <c r="K32" s="30">
        <v>0.1163</v>
      </c>
      <c r="L32" s="80">
        <f>L8*I32</f>
        <v>0.69779999999999998</v>
      </c>
      <c r="M32" s="80">
        <f>M8*I32</f>
        <v>0.69779999999999998</v>
      </c>
      <c r="O32" s="80">
        <f>O8*I32</f>
        <v>2.3260000000000001</v>
      </c>
      <c r="P32" s="80">
        <f>P8*I32</f>
        <v>11.7463</v>
      </c>
      <c r="R32" s="80">
        <f>R8*J32</f>
        <v>11.7463</v>
      </c>
      <c r="S32" s="80">
        <f>S8*J32</f>
        <v>2.9075000000000002</v>
      </c>
      <c r="T32" s="80">
        <f>T8*J32</f>
        <v>117.11410000000001</v>
      </c>
      <c r="U32" s="80">
        <f>U8*J32</f>
        <v>116.76520000000001</v>
      </c>
      <c r="W32" s="97">
        <f>W8*K32</f>
        <v>976.92</v>
      </c>
      <c r="X32" s="97">
        <f>X8*K32</f>
        <v>1465.38</v>
      </c>
      <c r="Y32" s="97">
        <f>Y8*K32</f>
        <v>22224.93</v>
      </c>
    </row>
    <row r="33" spans="1:25" x14ac:dyDescent="0.2">
      <c r="A33" s="63" t="s">
        <v>176</v>
      </c>
      <c r="B33" s="79" t="s">
        <v>135</v>
      </c>
      <c r="C33" s="95">
        <v>2.5000000000000001E-3</v>
      </c>
      <c r="D33" s="95"/>
      <c r="E33" s="95">
        <v>2.5000000000000001E-3</v>
      </c>
      <c r="F33" s="95"/>
      <c r="G33" s="25">
        <f>C33</f>
        <v>2.5000000000000001E-3</v>
      </c>
      <c r="H33" s="98"/>
      <c r="I33" s="30">
        <v>2.5000000000000001E-3</v>
      </c>
      <c r="J33" s="30">
        <v>2.5000000000000001E-3</v>
      </c>
      <c r="K33" s="30">
        <v>2.5000000000000001E-3</v>
      </c>
      <c r="L33" s="80">
        <f>L8*I33</f>
        <v>1.4999999999999999E-2</v>
      </c>
      <c r="M33" s="80">
        <f>M8*I33</f>
        <v>1.4999999999999999E-2</v>
      </c>
      <c r="O33" s="80">
        <f>O8*I33</f>
        <v>0.05</v>
      </c>
      <c r="P33" s="80">
        <f>P8*I33</f>
        <v>0.2525</v>
      </c>
      <c r="R33" s="80">
        <f>R8*J33</f>
        <v>0.2525</v>
      </c>
      <c r="S33" s="80">
        <f>S8*J33</f>
        <v>6.25E-2</v>
      </c>
      <c r="T33" s="80">
        <f>T8*J33</f>
        <v>2.5175000000000001</v>
      </c>
      <c r="U33" s="80">
        <f>U8*J33</f>
        <v>2.5100000000000002</v>
      </c>
      <c r="W33" s="97">
        <f>W8*K33</f>
        <v>21</v>
      </c>
      <c r="X33" s="97">
        <f>X8*K33</f>
        <v>31.5</v>
      </c>
      <c r="Y33" s="97">
        <f>Y8*K33</f>
        <v>477.75</v>
      </c>
    </row>
    <row r="34" spans="1:25" x14ac:dyDescent="0.2">
      <c r="A34" s="108" t="s">
        <v>177</v>
      </c>
      <c r="B34" s="109" t="s">
        <v>135</v>
      </c>
      <c r="C34" s="110">
        <v>0.40039999999999998</v>
      </c>
      <c r="D34" s="110"/>
      <c r="E34" s="110">
        <v>0.40039999999999998</v>
      </c>
      <c r="F34" s="110"/>
      <c r="G34" s="25">
        <f>C34</f>
        <v>0.40039999999999998</v>
      </c>
      <c r="H34" s="98"/>
      <c r="I34" s="30">
        <v>0.40039999999999998</v>
      </c>
      <c r="J34" s="30">
        <v>0.40039999999999998</v>
      </c>
      <c r="K34" s="30">
        <v>0.40039999999999998</v>
      </c>
      <c r="L34" s="80">
        <f>L8*I34</f>
        <v>2.4024000000000001</v>
      </c>
      <c r="M34" s="80">
        <f>M8*I34</f>
        <v>2.4024000000000001</v>
      </c>
      <c r="O34" s="80">
        <f>O8*I34</f>
        <v>8.0079999999999991</v>
      </c>
      <c r="P34" s="80">
        <f>P8*I34</f>
        <v>40.440399999999997</v>
      </c>
      <c r="R34" s="80">
        <f>R8*J34</f>
        <v>40.440399999999997</v>
      </c>
      <c r="S34" s="80">
        <f>S8*J34</f>
        <v>10.01</v>
      </c>
      <c r="T34" s="80">
        <f>T8*J34</f>
        <v>403.20279999999997</v>
      </c>
      <c r="U34" s="80">
        <f>U8*J34</f>
        <v>402.0016</v>
      </c>
      <c r="W34" s="97">
        <f>W8*K34</f>
        <v>3363.3599999999997</v>
      </c>
      <c r="X34" s="97">
        <f>X8*K34</f>
        <v>5045.04</v>
      </c>
      <c r="Y34" s="97">
        <f>Y8*K34</f>
        <v>76516.44</v>
      </c>
    </row>
    <row r="35" spans="1:25" ht="13.5" thickBot="1" x14ac:dyDescent="0.25">
      <c r="A35" s="111" t="s">
        <v>178</v>
      </c>
      <c r="B35" s="112"/>
      <c r="C35" s="113">
        <f>4.6394-0.3+0.8819+0.7211+0.8449+0.7732+0.4569+0.1019+0.0014+0.1163+0.0025+0.4004</f>
        <v>8.6399000000000008</v>
      </c>
      <c r="D35" s="113"/>
      <c r="E35" s="113">
        <f>4.6394+0.8419+0.7159+0.9259+0.1019+0.0014+0.1163+0.0025+0.4004</f>
        <v>7.7456000000000014</v>
      </c>
      <c r="F35" s="113"/>
      <c r="G35" s="113">
        <f>4.6394+0.1019+0.0014+0.1163+0.0025+0.4004</f>
        <v>5.2619000000000007</v>
      </c>
      <c r="H35" s="113"/>
      <c r="I35" s="114">
        <v>8.6399000000000008</v>
      </c>
      <c r="J35" s="114">
        <v>7.7455999999999996</v>
      </c>
      <c r="K35" s="114">
        <v>5.2618999999999998</v>
      </c>
      <c r="L35" s="115">
        <f>SUM(L9:L34)</f>
        <v>42.501899999999999</v>
      </c>
      <c r="M35" s="116">
        <f>SUM(M9:M34)</f>
        <v>42.493499999999997</v>
      </c>
      <c r="O35" s="117">
        <f>SUM(O9:O34)</f>
        <v>169.10070000000005</v>
      </c>
      <c r="P35" s="117">
        <f>SUM(P9:P34)</f>
        <v>877.62990000000002</v>
      </c>
      <c r="R35" s="117">
        <f>SUM(R9:R34)</f>
        <v>851.17559999999992</v>
      </c>
      <c r="S35" s="117">
        <f>SUM(S9:S34)</f>
        <v>194.3261</v>
      </c>
      <c r="T35" s="117">
        <f>SUM(T9:T34)</f>
        <v>7800.5052999999998</v>
      </c>
      <c r="U35" s="117">
        <f>SUM(U9:U34)</f>
        <v>7777.2684999999992</v>
      </c>
      <c r="W35" s="118">
        <f>SUM(W9:W34)</f>
        <v>113225.1541</v>
      </c>
      <c r="X35" s="118">
        <f>SUM(X9:X34)</f>
        <v>173288.61350000001</v>
      </c>
      <c r="Y35" s="118">
        <f>SUM(Y9:Y34)</f>
        <v>1388635.7955</v>
      </c>
    </row>
    <row r="36" spans="1:25" ht="14.25" thickTop="1" thickBot="1" x14ac:dyDescent="0.25">
      <c r="A36" s="111" t="s">
        <v>179</v>
      </c>
      <c r="B36" s="112" t="s">
        <v>166</v>
      </c>
      <c r="C36" s="119">
        <f>C27</f>
        <v>5</v>
      </c>
      <c r="D36" s="119"/>
      <c r="E36" s="119">
        <f>E24+E27</f>
        <v>68.87</v>
      </c>
      <c r="F36" s="119"/>
      <c r="G36" s="119">
        <f>G24+G27</f>
        <v>68.87</v>
      </c>
      <c r="H36" s="113"/>
      <c r="I36" s="120">
        <f>I9+I10+I11+I12+I17+I18+I22+I25+I28+I29</f>
        <v>8.4192999999999998</v>
      </c>
      <c r="J36" s="64">
        <f>E35-J35</f>
        <v>0</v>
      </c>
      <c r="K36" s="64">
        <f>G35-K35</f>
        <v>0</v>
      </c>
      <c r="M36" s="30" t="s">
        <v>180</v>
      </c>
      <c r="O36" s="121">
        <f>O8*I38</f>
        <v>2.8260000000000001</v>
      </c>
      <c r="P36" s="121">
        <f>P8*I38</f>
        <v>14.2713</v>
      </c>
      <c r="R36" s="121">
        <f>R8*J38</f>
        <v>14.2713</v>
      </c>
      <c r="S36" s="121">
        <f>S8*K38</f>
        <v>3.5325000000000002</v>
      </c>
      <c r="T36" s="121">
        <f>T8*J38</f>
        <v>142.28910000000002</v>
      </c>
      <c r="U36" s="121">
        <f>U8*J38</f>
        <v>141.86520000000002</v>
      </c>
      <c r="W36" s="122">
        <f>W8*K38</f>
        <v>1186.92</v>
      </c>
      <c r="X36" s="122">
        <f>X8*K38</f>
        <v>1780.38</v>
      </c>
      <c r="Y36" s="122">
        <f>Y8*K38</f>
        <v>27002.43</v>
      </c>
    </row>
    <row r="37" spans="1:25" ht="14.25" thickTop="1" thickBot="1" x14ac:dyDescent="0.25">
      <c r="A37" s="111" t="s">
        <v>181</v>
      </c>
      <c r="B37" s="123" t="s">
        <v>158</v>
      </c>
      <c r="C37" s="113"/>
      <c r="D37" s="113"/>
      <c r="E37" s="113"/>
      <c r="F37" s="113"/>
      <c r="G37" s="113" t="e">
        <f>G16+G21</f>
        <v>#REF!</v>
      </c>
      <c r="H37" s="113"/>
      <c r="I37" s="30" t="s">
        <v>182</v>
      </c>
      <c r="J37" s="30" t="s">
        <v>182</v>
      </c>
      <c r="K37" s="30" t="s">
        <v>182</v>
      </c>
      <c r="M37" s="30" t="s">
        <v>183</v>
      </c>
      <c r="O37" s="121">
        <f>O8*I39</f>
        <v>3.3999999999999996E-2</v>
      </c>
      <c r="P37" s="121">
        <f>P8*I39</f>
        <v>0.17169999999999999</v>
      </c>
      <c r="R37" s="121">
        <f>R8*J39</f>
        <v>0.17169999999999999</v>
      </c>
      <c r="S37" s="121">
        <f>S8*K39</f>
        <v>4.2499999999999996E-2</v>
      </c>
      <c r="T37" s="121">
        <f>T8*J39</f>
        <v>1.7119</v>
      </c>
      <c r="U37" s="121">
        <f>U8*J39</f>
        <v>1.7067999999999999</v>
      </c>
      <c r="W37" s="122">
        <f>W8*K39</f>
        <v>14.28</v>
      </c>
      <c r="X37" s="122">
        <f>X8*K39</f>
        <v>21.419999999999998</v>
      </c>
      <c r="Y37" s="122">
        <f>Y8*K39</f>
        <v>324.87</v>
      </c>
    </row>
    <row r="38" spans="1:25" ht="13.5" thickTop="1" x14ac:dyDescent="0.2">
      <c r="A38" s="79"/>
      <c r="B38" s="79"/>
      <c r="C38" s="79"/>
      <c r="D38" s="960" t="s">
        <v>184</v>
      </c>
      <c r="E38" s="960"/>
      <c r="F38" s="961"/>
      <c r="G38" s="962" t="s">
        <v>185</v>
      </c>
      <c r="H38" s="960"/>
      <c r="I38" s="30">
        <v>0.14130000000000001</v>
      </c>
      <c r="J38" s="30">
        <v>0.14130000000000001</v>
      </c>
      <c r="K38" s="30">
        <v>0.14130000000000001</v>
      </c>
      <c r="M38" s="30" t="s">
        <v>186</v>
      </c>
      <c r="O38" s="121">
        <f>O8*I40</f>
        <v>0.374</v>
      </c>
      <c r="P38" s="121">
        <f>P8*I40</f>
        <v>1.8887</v>
      </c>
      <c r="R38" s="121">
        <f>R8*J40</f>
        <v>1.8887</v>
      </c>
      <c r="S38" s="121">
        <f>S8*J40</f>
        <v>0.46750000000000003</v>
      </c>
      <c r="T38" s="121">
        <f>T8*J40</f>
        <v>18.8309</v>
      </c>
      <c r="U38" s="121">
        <f>U8*J40</f>
        <v>18.774800000000003</v>
      </c>
      <c r="W38" s="122">
        <v>0</v>
      </c>
      <c r="X38" s="122">
        <v>0</v>
      </c>
      <c r="Y38" s="122">
        <v>0</v>
      </c>
    </row>
    <row r="39" spans="1:25" x14ac:dyDescent="0.2">
      <c r="A39" s="79"/>
      <c r="B39" s="79"/>
      <c r="C39" s="79"/>
      <c r="D39" s="124" t="s">
        <v>187</v>
      </c>
      <c r="E39" s="125" t="s">
        <v>188</v>
      </c>
      <c r="F39" s="126" t="s">
        <v>189</v>
      </c>
      <c r="G39" s="963" t="s">
        <v>190</v>
      </c>
      <c r="H39" s="964"/>
      <c r="I39" s="64">
        <v>1.6999999999999999E-3</v>
      </c>
      <c r="J39" s="64">
        <v>1.6999999999999999E-3</v>
      </c>
      <c r="K39" s="64">
        <v>1.6999999999999999E-3</v>
      </c>
      <c r="M39" s="30" t="s">
        <v>191</v>
      </c>
      <c r="O39" s="121">
        <f>(SUM(O14,O22:O29))*12%</f>
        <v>5.1045599999999993</v>
      </c>
      <c r="P39" s="121">
        <f>(SUM(P14,P22:P29))*12%</f>
        <v>23.348027999999999</v>
      </c>
      <c r="R39" s="121">
        <f>(SUM(R14,R22:R29))*12%</f>
        <v>20.721335999999997</v>
      </c>
      <c r="S39" s="121">
        <f>(SUM(S14,S22:S29))*12%</f>
        <v>3.1657319999999993</v>
      </c>
      <c r="T39" s="121">
        <f>(SUM(T14,T22:T29))*12%</f>
        <v>124.28168399999998</v>
      </c>
      <c r="U39" s="121">
        <f>(SUM(U14,U22:U29))*12%</f>
        <v>123.91167599999999</v>
      </c>
      <c r="W39" s="122">
        <f>(SUM(W14,W21:W29))*12%</f>
        <v>4603.5175319999998</v>
      </c>
      <c r="X39" s="122">
        <f>(SUM(X14,X21:X29))*12%</f>
        <v>7130.2711319999989</v>
      </c>
      <c r="Y39" s="122">
        <f>(SUM(Y14,Y21:Y29))*12%</f>
        <v>27315.849131999996</v>
      </c>
    </row>
    <row r="40" spans="1:25" ht="13.5" thickBot="1" x14ac:dyDescent="0.25">
      <c r="A40" s="79"/>
      <c r="B40" s="79"/>
      <c r="C40" s="79"/>
      <c r="D40" s="127" t="e">
        <f>#REF!</f>
        <v>#REF!</v>
      </c>
      <c r="E40" s="127" t="e">
        <f>#REF!</f>
        <v>#REF!</v>
      </c>
      <c r="F40" s="127" t="e">
        <f>#REF!</f>
        <v>#REF!</v>
      </c>
      <c r="G40" s="128">
        <v>0.12</v>
      </c>
      <c r="H40" s="129"/>
      <c r="I40" s="30">
        <v>1.8700000000000001E-2</v>
      </c>
      <c r="J40" s="30">
        <v>1.8700000000000001E-2</v>
      </c>
      <c r="O40" s="116">
        <f>SUM(O35:O39)</f>
        <v>177.43926000000002</v>
      </c>
      <c r="P40" s="116">
        <f>SUM(P35:P39)</f>
        <v>917.30962799999998</v>
      </c>
      <c r="R40" s="116">
        <f>SUM(R35:R39)</f>
        <v>888.22863599999982</v>
      </c>
      <c r="S40" s="116">
        <f>SUM(S35:S39)</f>
        <v>201.53433199999998</v>
      </c>
      <c r="T40" s="116">
        <f>SUM(T35:T39)</f>
        <v>8087.6188839999995</v>
      </c>
      <c r="U40" s="116">
        <f>SUM(U35:U39)</f>
        <v>8063.5269759999992</v>
      </c>
      <c r="W40" s="116">
        <f>SUM(W35:W39)</f>
        <v>119029.87163199999</v>
      </c>
      <c r="X40" s="116">
        <f>SUM(X35:X39)</f>
        <v>182220.68463200002</v>
      </c>
      <c r="Y40" s="116">
        <f>SUM(Y35:Y39)</f>
        <v>1443278.9446320001</v>
      </c>
    </row>
    <row r="41" spans="1:25" ht="13.5" thickTop="1" x14ac:dyDescent="0.2">
      <c r="A41" s="61" t="s">
        <v>192</v>
      </c>
      <c r="B41" s="61"/>
      <c r="C41" s="130" t="s">
        <v>193</v>
      </c>
      <c r="D41" s="79"/>
      <c r="E41" s="79"/>
      <c r="F41" s="79"/>
      <c r="G41" s="79"/>
      <c r="H41" s="79"/>
      <c r="W41" s="97"/>
    </row>
    <row r="42" spans="1:25" x14ac:dyDescent="0.2">
      <c r="A42" s="61"/>
      <c r="B42" s="79"/>
      <c r="C42" s="61"/>
      <c r="D42" s="79"/>
      <c r="E42" s="79"/>
      <c r="F42" s="79"/>
      <c r="G42" s="79"/>
      <c r="H42" s="79"/>
      <c r="W42" s="122"/>
    </row>
    <row r="43" spans="1:25" x14ac:dyDescent="0.2">
      <c r="A43" s="131" t="s">
        <v>194</v>
      </c>
      <c r="B43" s="81"/>
      <c r="C43" s="131" t="s">
        <v>195</v>
      </c>
      <c r="D43" s="79"/>
      <c r="E43" s="79"/>
      <c r="F43" s="79"/>
      <c r="G43" s="79"/>
      <c r="H43" s="79"/>
    </row>
    <row r="44" spans="1:25" x14ac:dyDescent="0.2">
      <c r="A44" s="61" t="s">
        <v>196</v>
      </c>
      <c r="B44" s="79"/>
      <c r="C44" s="61" t="s">
        <v>197</v>
      </c>
      <c r="D44" s="79"/>
      <c r="E44" s="79"/>
      <c r="F44" s="79"/>
      <c r="G44" s="79"/>
      <c r="H44" s="79"/>
    </row>
    <row r="45" spans="1:25" x14ac:dyDescent="0.2">
      <c r="A45" s="66" t="s">
        <v>64</v>
      </c>
      <c r="B45" s="66"/>
      <c r="C45" s="66"/>
      <c r="D45" s="66"/>
      <c r="E45" s="66"/>
      <c r="F45" s="66"/>
      <c r="G45" s="66"/>
      <c r="H45" s="66"/>
    </row>
    <row r="46" spans="1:25" x14ac:dyDescent="0.2">
      <c r="A46" s="66" t="s">
        <v>0</v>
      </c>
      <c r="B46" s="66"/>
      <c r="C46" s="66"/>
      <c r="D46" s="66"/>
      <c r="E46" s="66"/>
      <c r="F46" s="66"/>
      <c r="G46" s="66"/>
      <c r="H46" s="66"/>
    </row>
    <row r="47" spans="1:25" x14ac:dyDescent="0.2">
      <c r="A47" s="66"/>
      <c r="B47" s="66"/>
      <c r="C47" s="66"/>
      <c r="D47" s="66"/>
      <c r="E47" s="66"/>
      <c r="F47" s="66"/>
      <c r="G47" s="66"/>
      <c r="H47" s="66"/>
    </row>
    <row r="48" spans="1:25" x14ac:dyDescent="0.2">
      <c r="A48" s="132" t="s">
        <v>60</v>
      </c>
      <c r="B48" s="66"/>
      <c r="C48" s="66"/>
      <c r="D48" s="66"/>
      <c r="E48" s="66"/>
      <c r="F48" s="66"/>
      <c r="G48" s="66"/>
      <c r="H48" s="66"/>
      <c r="W48" s="34" t="s">
        <v>143</v>
      </c>
      <c r="X48" s="34" t="s">
        <v>144</v>
      </c>
      <c r="Y48" s="34" t="s">
        <v>1</v>
      </c>
    </row>
    <row r="49" spans="1:25" x14ac:dyDescent="0.2">
      <c r="A49" s="133" t="s">
        <v>54</v>
      </c>
      <c r="B49" s="66"/>
      <c r="C49" s="66"/>
      <c r="D49" s="66"/>
      <c r="E49" s="66"/>
      <c r="F49" s="66"/>
      <c r="G49" s="66"/>
      <c r="H49" s="66"/>
      <c r="W49" s="83" t="s">
        <v>145</v>
      </c>
      <c r="X49" s="83" t="s">
        <v>145</v>
      </c>
      <c r="Y49" s="83" t="s">
        <v>145</v>
      </c>
    </row>
    <row r="50" spans="1:25" x14ac:dyDescent="0.2">
      <c r="A50" s="133"/>
      <c r="B50" s="66"/>
      <c r="C50" s="66"/>
      <c r="D50" s="66"/>
      <c r="E50" s="66"/>
      <c r="F50" s="66"/>
      <c r="G50" s="66"/>
      <c r="H50" s="66"/>
      <c r="L50" s="84" t="s">
        <v>146</v>
      </c>
      <c r="M50" s="73" t="s">
        <v>6</v>
      </c>
      <c r="N50" s="73"/>
      <c r="O50" s="84" t="s">
        <v>146</v>
      </c>
      <c r="P50" s="73" t="s">
        <v>6</v>
      </c>
      <c r="R50" s="85" t="s">
        <v>147</v>
      </c>
      <c r="S50" s="85" t="s">
        <v>147</v>
      </c>
      <c r="T50" s="85" t="s">
        <v>147</v>
      </c>
      <c r="U50" s="85" t="s">
        <v>147</v>
      </c>
      <c r="W50" s="86">
        <f>0.2*700</f>
        <v>140</v>
      </c>
      <c r="X50" s="86">
        <f>0.31*700</f>
        <v>217</v>
      </c>
      <c r="Y50" s="86">
        <f>0.37*2100</f>
        <v>777</v>
      </c>
    </row>
    <row r="51" spans="1:25" x14ac:dyDescent="0.2">
      <c r="A51" s="965"/>
      <c r="B51" s="966"/>
      <c r="C51" s="134" t="s">
        <v>6</v>
      </c>
      <c r="D51" s="967" t="s">
        <v>47</v>
      </c>
      <c r="E51" s="968"/>
      <c r="F51" s="969"/>
      <c r="G51" s="967" t="s">
        <v>13</v>
      </c>
      <c r="H51" s="969"/>
      <c r="I51" s="134" t="s">
        <v>6</v>
      </c>
      <c r="J51" s="134" t="s">
        <v>47</v>
      </c>
      <c r="K51" s="134" t="s">
        <v>13</v>
      </c>
      <c r="L51" s="80" t="s">
        <v>130</v>
      </c>
      <c r="M51" s="88" t="s">
        <v>148</v>
      </c>
      <c r="O51" s="80" t="s">
        <v>130</v>
      </c>
      <c r="P51" s="80" t="s">
        <v>130</v>
      </c>
      <c r="R51" s="80" t="s">
        <v>130</v>
      </c>
      <c r="S51" s="80" t="s">
        <v>130</v>
      </c>
      <c r="T51" s="80" t="s">
        <v>130</v>
      </c>
      <c r="U51" s="80" t="s">
        <v>130</v>
      </c>
      <c r="W51" s="89" t="s">
        <v>130</v>
      </c>
      <c r="X51" s="89" t="s">
        <v>130</v>
      </c>
      <c r="Y51" s="89" t="s">
        <v>130</v>
      </c>
    </row>
    <row r="52" spans="1:25" x14ac:dyDescent="0.2">
      <c r="A52" s="135" t="s">
        <v>149</v>
      </c>
      <c r="B52" s="66"/>
      <c r="C52" s="136"/>
      <c r="D52" s="136"/>
      <c r="E52" s="136"/>
      <c r="F52" s="136"/>
      <c r="G52" s="136"/>
      <c r="H52" s="137"/>
      <c r="L52" s="93">
        <v>6</v>
      </c>
      <c r="M52" s="93">
        <v>10</v>
      </c>
      <c r="O52" s="93">
        <v>20</v>
      </c>
      <c r="P52" s="93">
        <v>101</v>
      </c>
      <c r="R52" s="93">
        <v>101</v>
      </c>
      <c r="S52" s="93">
        <v>4937</v>
      </c>
      <c r="T52" s="93">
        <v>667</v>
      </c>
      <c r="U52" s="93">
        <v>1004</v>
      </c>
      <c r="W52" s="94">
        <f>(908-892)*700</f>
        <v>11200</v>
      </c>
      <c r="X52" s="94">
        <f>(977-949)*700</f>
        <v>19600</v>
      </c>
      <c r="Y52" s="94">
        <f>(2571-2467)*2100</f>
        <v>218400</v>
      </c>
    </row>
    <row r="53" spans="1:25" x14ac:dyDescent="0.2">
      <c r="A53" s="138" t="s">
        <v>150</v>
      </c>
      <c r="B53" s="66" t="s">
        <v>135</v>
      </c>
      <c r="C53" s="139" t="e">
        <f>C57-C54-C55-C56</f>
        <v>#REF!</v>
      </c>
      <c r="D53" s="139"/>
      <c r="E53" s="139" t="e">
        <f>E57-E54-E55-E56</f>
        <v>#REF!</v>
      </c>
      <c r="F53" s="139"/>
      <c r="G53" s="139" t="e">
        <f>G57-G54-G55-G56</f>
        <v>#REF!</v>
      </c>
      <c r="H53" s="140"/>
      <c r="I53" s="30">
        <v>4.7431000000000001</v>
      </c>
      <c r="J53" s="64">
        <v>4.7431000000000001</v>
      </c>
      <c r="K53" s="64">
        <v>4.7431000000000001</v>
      </c>
      <c r="L53" s="80">
        <f>L52*(I53+I55+I56)</f>
        <v>32.0946</v>
      </c>
      <c r="M53" s="80">
        <f>M52*(I53+I55+I56)</f>
        <v>53.491</v>
      </c>
      <c r="O53" s="80">
        <f>O52*(I53+I55+I56)</f>
        <v>106.982</v>
      </c>
      <c r="P53" s="80">
        <f>P52*(I53+I55+I56)</f>
        <v>540.25909999999999</v>
      </c>
      <c r="R53" s="80">
        <f>R52*(J53+J55+J56)</f>
        <v>540.25909999999999</v>
      </c>
      <c r="S53" s="80">
        <f>S52*(J53+J55+J56)</f>
        <v>26408.506699999998</v>
      </c>
      <c r="T53" s="80">
        <f>T52*(J53+J55+J56)</f>
        <v>3567.8496999999998</v>
      </c>
      <c r="U53" s="80">
        <f>U52*(J53+J55+J56)</f>
        <v>5370.4964</v>
      </c>
      <c r="W53" s="97">
        <f>W52*(K53+K55+K56)</f>
        <v>59909.919999999998</v>
      </c>
      <c r="X53" s="97">
        <f>X52*(K53+K55+K56)</f>
        <v>104842.36</v>
      </c>
      <c r="Y53" s="97">
        <f>Y52*(K53+K55+K56)</f>
        <v>1168243.44</v>
      </c>
    </row>
    <row r="54" spans="1:25" x14ac:dyDescent="0.2">
      <c r="A54" s="138" t="s">
        <v>151</v>
      </c>
      <c r="B54" s="66" t="s">
        <v>135</v>
      </c>
      <c r="C54" s="139">
        <v>1.77E-2</v>
      </c>
      <c r="D54" s="139"/>
      <c r="E54" s="139">
        <v>1.77E-2</v>
      </c>
      <c r="F54" s="139"/>
      <c r="G54" s="139">
        <v>1.77E-2</v>
      </c>
      <c r="H54" s="141"/>
      <c r="I54" s="30">
        <v>1.77E-2</v>
      </c>
      <c r="J54" s="64">
        <v>1.77E-2</v>
      </c>
      <c r="K54" s="30">
        <v>1.77E-2</v>
      </c>
      <c r="L54" s="80">
        <f>L52*I54</f>
        <v>0.1062</v>
      </c>
      <c r="M54" s="80">
        <f>M52*I54</f>
        <v>0.17699999999999999</v>
      </c>
      <c r="O54" s="80">
        <f>O52*I54</f>
        <v>0.35399999999999998</v>
      </c>
      <c r="P54" s="80">
        <f>P52*I54</f>
        <v>1.7877000000000001</v>
      </c>
      <c r="R54" s="80">
        <f>R52*J54</f>
        <v>1.7877000000000001</v>
      </c>
      <c r="S54" s="80">
        <f>S52*J54</f>
        <v>87.384900000000002</v>
      </c>
      <c r="T54" s="80">
        <f>T52*J54</f>
        <v>11.805900000000001</v>
      </c>
      <c r="U54" s="80">
        <f>U52*J54</f>
        <v>17.770800000000001</v>
      </c>
      <c r="W54" s="97">
        <f>W52*K54</f>
        <v>198.24</v>
      </c>
      <c r="X54" s="97">
        <f>X52*K54</f>
        <v>346.92</v>
      </c>
      <c r="Y54" s="97">
        <f>Y52*K54</f>
        <v>3865.6800000000003</v>
      </c>
    </row>
    <row r="55" spans="1:25" x14ac:dyDescent="0.2">
      <c r="A55" s="138" t="s">
        <v>152</v>
      </c>
      <c r="B55" s="66" t="s">
        <v>135</v>
      </c>
      <c r="C55" s="139">
        <v>0.48470000000000002</v>
      </c>
      <c r="D55" s="139"/>
      <c r="E55" s="139">
        <v>0.48470000000000002</v>
      </c>
      <c r="F55" s="139"/>
      <c r="G55" s="139">
        <v>0.48470000000000002</v>
      </c>
      <c r="H55" s="141"/>
      <c r="I55" s="30">
        <v>0.48470000000000002</v>
      </c>
      <c r="J55" s="64">
        <v>0.48470000000000002</v>
      </c>
      <c r="K55" s="64">
        <v>0.48470000000000002</v>
      </c>
      <c r="M55" s="80"/>
      <c r="O55" s="80"/>
      <c r="P55" s="80"/>
      <c r="R55" s="80"/>
      <c r="S55" s="80"/>
      <c r="T55" s="80"/>
      <c r="U55" s="80"/>
      <c r="W55" s="97"/>
      <c r="X55" s="97"/>
      <c r="Y55" s="97"/>
    </row>
    <row r="56" spans="1:25" x14ac:dyDescent="0.2">
      <c r="A56" s="138" t="s">
        <v>153</v>
      </c>
      <c r="B56" s="66" t="s">
        <v>135</v>
      </c>
      <c r="C56" s="139">
        <v>0.12130000000000001</v>
      </c>
      <c r="D56" s="139"/>
      <c r="E56" s="139">
        <v>0.12130000000000001</v>
      </c>
      <c r="F56" s="139"/>
      <c r="G56" s="139">
        <v>0.12130000000000001</v>
      </c>
      <c r="H56" s="141"/>
      <c r="I56" s="30">
        <v>0.12130000000000001</v>
      </c>
      <c r="J56" s="64">
        <v>0.12130000000000001</v>
      </c>
      <c r="K56" s="64">
        <v>0.12130000000000001</v>
      </c>
      <c r="M56" s="80"/>
      <c r="O56" s="80"/>
      <c r="P56" s="80"/>
      <c r="R56" s="80"/>
      <c r="S56" s="80"/>
      <c r="T56" s="80"/>
      <c r="U56" s="80"/>
      <c r="W56" s="97"/>
      <c r="X56" s="97"/>
      <c r="Y56" s="97"/>
    </row>
    <row r="57" spans="1:25" x14ac:dyDescent="0.2">
      <c r="A57" s="138" t="s">
        <v>154</v>
      </c>
      <c r="B57" s="66"/>
      <c r="C57" s="142" t="e">
        <f>#REF!</f>
        <v>#REF!</v>
      </c>
      <c r="D57" s="142"/>
      <c r="E57" s="142" t="e">
        <f>C57</f>
        <v>#REF!</v>
      </c>
      <c r="F57" s="142"/>
      <c r="G57" s="142" t="e">
        <f>C57</f>
        <v>#REF!</v>
      </c>
      <c r="H57" s="143"/>
      <c r="M57" s="80"/>
      <c r="O57" s="80"/>
      <c r="P57" s="80"/>
      <c r="R57" s="80"/>
      <c r="S57" s="80"/>
      <c r="T57" s="80"/>
      <c r="U57" s="80"/>
      <c r="W57" s="97"/>
      <c r="X57" s="97"/>
      <c r="Y57" s="97"/>
    </row>
    <row r="58" spans="1:25" x14ac:dyDescent="0.2">
      <c r="A58" s="135" t="s">
        <v>155</v>
      </c>
      <c r="B58" s="66" t="s">
        <v>135</v>
      </c>
      <c r="C58" s="139" t="e">
        <f>(-599064.73+33008.23)/#REF!</f>
        <v>#REF!</v>
      </c>
      <c r="D58" s="139"/>
      <c r="E58" s="139"/>
      <c r="F58" s="139"/>
      <c r="G58" s="139"/>
      <c r="H58" s="140"/>
      <c r="I58" s="64">
        <v>-0.22819999999999999</v>
      </c>
      <c r="J58" s="101"/>
      <c r="K58" s="101"/>
      <c r="L58" s="80">
        <f>L52*I58</f>
        <v>-1.3692</v>
      </c>
      <c r="M58" s="80">
        <f>M52*I58</f>
        <v>-2.282</v>
      </c>
      <c r="O58" s="102">
        <f>O52*I58</f>
        <v>-4.5640000000000001</v>
      </c>
      <c r="P58" s="102">
        <f>P52*I58</f>
        <v>-23.048199999999998</v>
      </c>
      <c r="R58" s="102">
        <f>R52*J58</f>
        <v>0</v>
      </c>
      <c r="S58" s="102">
        <f>S52*K58</f>
        <v>0</v>
      </c>
      <c r="T58" s="102">
        <f>T52*J58</f>
        <v>0</v>
      </c>
      <c r="U58" s="102">
        <f>U52*J58</f>
        <v>0</v>
      </c>
      <c r="W58" s="103">
        <f>W52*K58</f>
        <v>0</v>
      </c>
      <c r="X58" s="103">
        <f>X52*K58</f>
        <v>0</v>
      </c>
      <c r="Y58" s="103">
        <f>Y52*K58</f>
        <v>0</v>
      </c>
    </row>
    <row r="59" spans="1:25" x14ac:dyDescent="0.2">
      <c r="A59" s="135" t="s">
        <v>156</v>
      </c>
      <c r="B59" s="66"/>
      <c r="C59" s="139"/>
      <c r="D59" s="139"/>
      <c r="E59" s="139"/>
      <c r="F59" s="139"/>
      <c r="G59" s="139"/>
      <c r="H59" s="140"/>
      <c r="M59" s="80"/>
      <c r="O59" s="80"/>
      <c r="P59" s="80"/>
      <c r="R59" s="80"/>
      <c r="S59" s="80"/>
      <c r="T59" s="80"/>
      <c r="U59" s="80"/>
      <c r="W59" s="97"/>
      <c r="X59" s="97"/>
      <c r="Y59" s="97"/>
    </row>
    <row r="60" spans="1:25" x14ac:dyDescent="0.2">
      <c r="A60" s="138" t="s">
        <v>157</v>
      </c>
      <c r="B60" s="66" t="s">
        <v>158</v>
      </c>
      <c r="C60" s="139"/>
      <c r="D60" s="139"/>
      <c r="E60" s="139"/>
      <c r="F60" s="139"/>
      <c r="G60" s="139" t="e">
        <f>#REF!</f>
        <v>#REF!</v>
      </c>
      <c r="H60" s="141"/>
      <c r="K60" s="64">
        <v>223.09020000000001</v>
      </c>
      <c r="M60" s="80"/>
      <c r="O60" s="80"/>
      <c r="P60" s="80"/>
      <c r="R60" s="80"/>
      <c r="S60" s="80"/>
      <c r="T60" s="80"/>
      <c r="U60" s="80"/>
      <c r="W60" s="104">
        <f>W50*K60</f>
        <v>31232.628000000001</v>
      </c>
      <c r="X60" s="97">
        <f>X50*K60</f>
        <v>48410.573400000001</v>
      </c>
      <c r="Y60" s="97">
        <f>Y50*K60</f>
        <v>173341.08540000001</v>
      </c>
    </row>
    <row r="61" spans="1:25" x14ac:dyDescent="0.2">
      <c r="A61" s="138" t="s">
        <v>159</v>
      </c>
      <c r="B61" s="66" t="s">
        <v>135</v>
      </c>
      <c r="C61" s="139" t="e">
        <f>#REF!</f>
        <v>#REF!</v>
      </c>
      <c r="D61" s="139"/>
      <c r="E61" s="139" t="e">
        <f>#REF!</f>
        <v>#REF!</v>
      </c>
      <c r="F61" s="139"/>
      <c r="G61" s="139"/>
      <c r="H61" s="141"/>
      <c r="I61" s="30">
        <v>0.83819999999999995</v>
      </c>
      <c r="J61" s="64">
        <v>0.8498</v>
      </c>
      <c r="L61" s="80">
        <f>L52*I61</f>
        <v>5.0291999999999994</v>
      </c>
      <c r="M61" s="80">
        <f>M52*I61</f>
        <v>8.3819999999999997</v>
      </c>
      <c r="O61" s="80">
        <f>O52*I61</f>
        <v>16.763999999999999</v>
      </c>
      <c r="P61" s="80">
        <f>P52*I61</f>
        <v>84.658199999999994</v>
      </c>
      <c r="R61" s="80">
        <f>R52*J61</f>
        <v>85.829800000000006</v>
      </c>
      <c r="S61" s="80">
        <f>S52*J61</f>
        <v>4195.4625999999998</v>
      </c>
      <c r="T61" s="80">
        <f>T52*J61</f>
        <v>566.81659999999999</v>
      </c>
      <c r="U61" s="80">
        <f>U52*J61</f>
        <v>853.19920000000002</v>
      </c>
      <c r="W61" s="97">
        <f>W52*K61</f>
        <v>0</v>
      </c>
      <c r="X61" s="97">
        <f>X52*K61</f>
        <v>0</v>
      </c>
      <c r="Y61" s="97">
        <f>Y52*K61</f>
        <v>0</v>
      </c>
    </row>
    <row r="62" spans="1:25" x14ac:dyDescent="0.2">
      <c r="A62" s="135" t="s">
        <v>160</v>
      </c>
      <c r="B62" s="66" t="s">
        <v>135</v>
      </c>
      <c r="C62" s="139" t="e">
        <f>#REF!</f>
        <v>#REF!</v>
      </c>
      <c r="D62" s="139"/>
      <c r="E62" s="139" t="e">
        <f>#REF!</f>
        <v>#REF!</v>
      </c>
      <c r="F62" s="139"/>
      <c r="G62" s="139">
        <v>0</v>
      </c>
      <c r="H62" s="141"/>
      <c r="I62" s="30">
        <v>0.79039999999999999</v>
      </c>
      <c r="J62" s="30">
        <v>0.79190000000000005</v>
      </c>
      <c r="K62" s="30">
        <v>0</v>
      </c>
      <c r="L62" s="80">
        <f>L52*I62</f>
        <v>4.7423999999999999</v>
      </c>
      <c r="M62" s="80">
        <f>M52*I62</f>
        <v>7.9039999999999999</v>
      </c>
      <c r="O62" s="80">
        <f>O52*I62</f>
        <v>15.808</v>
      </c>
      <c r="P62" s="80">
        <f>P52*I62</f>
        <v>79.830399999999997</v>
      </c>
      <c r="R62" s="80">
        <f>R52*J62</f>
        <v>79.98190000000001</v>
      </c>
      <c r="S62" s="80">
        <f>S52*J62</f>
        <v>3909.6103000000003</v>
      </c>
      <c r="T62" s="80">
        <f>T52*J62</f>
        <v>528.19730000000004</v>
      </c>
      <c r="U62" s="80">
        <f>U52*J62</f>
        <v>795.06760000000008</v>
      </c>
      <c r="W62" s="97">
        <f>W52*K62</f>
        <v>0</v>
      </c>
      <c r="X62" s="97">
        <f>X52*K62</f>
        <v>0</v>
      </c>
      <c r="Y62" s="97">
        <f>Y52*K62</f>
        <v>0</v>
      </c>
    </row>
    <row r="63" spans="1:25" x14ac:dyDescent="0.2">
      <c r="A63" s="138"/>
      <c r="B63" s="66"/>
      <c r="C63" s="139"/>
      <c r="D63" s="139"/>
      <c r="E63" s="139"/>
      <c r="F63" s="139"/>
      <c r="G63" s="139"/>
      <c r="H63" s="141"/>
      <c r="M63" s="80"/>
      <c r="O63" s="80"/>
      <c r="P63" s="80"/>
      <c r="R63" s="80"/>
      <c r="S63" s="80"/>
      <c r="T63" s="80"/>
      <c r="U63" s="80"/>
      <c r="W63" s="97"/>
      <c r="X63" s="97"/>
      <c r="Y63" s="97"/>
    </row>
    <row r="64" spans="1:25" x14ac:dyDescent="0.2">
      <c r="A64" s="135" t="s">
        <v>161</v>
      </c>
      <c r="B64" s="66"/>
      <c r="C64" s="139"/>
      <c r="D64" s="139"/>
      <c r="E64" s="139"/>
      <c r="F64" s="139"/>
      <c r="G64" s="139"/>
      <c r="H64" s="141"/>
      <c r="M64" s="80"/>
      <c r="O64" s="80"/>
      <c r="P64" s="80"/>
      <c r="R64" s="80"/>
      <c r="S64" s="80"/>
      <c r="T64" s="80"/>
      <c r="U64" s="80"/>
      <c r="W64" s="97"/>
      <c r="X64" s="97"/>
      <c r="Y64" s="97"/>
    </row>
    <row r="65" spans="1:25" x14ac:dyDescent="0.2">
      <c r="A65" s="138" t="s">
        <v>162</v>
      </c>
      <c r="B65" s="66" t="s">
        <v>158</v>
      </c>
      <c r="C65" s="139"/>
      <c r="D65" s="139"/>
      <c r="E65" s="139"/>
      <c r="F65" s="139"/>
      <c r="G65" s="139">
        <v>267.89999999999998</v>
      </c>
      <c r="H65" s="141"/>
      <c r="K65" s="30">
        <v>267.89999999999998</v>
      </c>
      <c r="M65" s="80"/>
      <c r="O65" s="80"/>
      <c r="P65" s="80"/>
      <c r="R65" s="80"/>
      <c r="S65" s="80"/>
      <c r="T65" s="80"/>
      <c r="U65" s="80"/>
      <c r="W65" s="104">
        <f>W50*K65</f>
        <v>37506</v>
      </c>
      <c r="X65" s="104">
        <f>X50*K65</f>
        <v>58134.299999999996</v>
      </c>
      <c r="Y65" s="104">
        <f>Y50*K65</f>
        <v>208158.3</v>
      </c>
    </row>
    <row r="66" spans="1:25" x14ac:dyDescent="0.2">
      <c r="A66" s="138" t="s">
        <v>163</v>
      </c>
      <c r="B66" s="66" t="s">
        <v>135</v>
      </c>
      <c r="C66" s="139">
        <v>0.84489999999999998</v>
      </c>
      <c r="D66" s="144"/>
      <c r="E66" s="144">
        <v>0.92589999999999995</v>
      </c>
      <c r="F66" s="139"/>
      <c r="G66" s="139"/>
      <c r="H66" s="141"/>
      <c r="I66" s="30">
        <v>0.84489999999999998</v>
      </c>
      <c r="J66" s="30">
        <v>0.92589999999999995</v>
      </c>
      <c r="L66" s="80">
        <f>L52*I66</f>
        <v>5.0693999999999999</v>
      </c>
      <c r="M66" s="80">
        <f>M52*I66</f>
        <v>8.4489999999999998</v>
      </c>
      <c r="O66" s="102">
        <f>O52*I66</f>
        <v>16.898</v>
      </c>
      <c r="P66" s="102">
        <f>P52*I66</f>
        <v>85.334900000000005</v>
      </c>
      <c r="R66" s="102">
        <f>R52*J66</f>
        <v>93.515899999999988</v>
      </c>
      <c r="S66" s="102">
        <f>S52*J66</f>
        <v>4571.1682999999994</v>
      </c>
      <c r="T66" s="102">
        <f>T52*J66</f>
        <v>617.57529999999997</v>
      </c>
      <c r="U66" s="102">
        <f>U52*J66</f>
        <v>929.60359999999991</v>
      </c>
      <c r="W66" s="103">
        <f>W52*K66</f>
        <v>0</v>
      </c>
      <c r="X66" s="103">
        <f>X52*K66</f>
        <v>0</v>
      </c>
      <c r="Y66" s="103">
        <f>Y52*K66</f>
        <v>0</v>
      </c>
    </row>
    <row r="67" spans="1:25" x14ac:dyDescent="0.2">
      <c r="A67" s="135" t="s">
        <v>164</v>
      </c>
      <c r="B67" s="66"/>
      <c r="C67" s="139"/>
      <c r="D67" s="144"/>
      <c r="E67" s="139"/>
      <c r="F67" s="139"/>
      <c r="G67" s="139"/>
      <c r="H67" s="141"/>
      <c r="M67" s="80"/>
      <c r="O67" s="102"/>
      <c r="P67" s="102"/>
      <c r="R67" s="102"/>
      <c r="S67" s="102"/>
      <c r="T67" s="102"/>
      <c r="U67" s="102"/>
      <c r="W67" s="103"/>
      <c r="X67" s="103"/>
      <c r="Y67" s="103"/>
    </row>
    <row r="68" spans="1:25" x14ac:dyDescent="0.2">
      <c r="A68" s="138" t="s">
        <v>165</v>
      </c>
      <c r="B68" s="66" t="s">
        <v>166</v>
      </c>
      <c r="C68" s="139"/>
      <c r="D68" s="144"/>
      <c r="E68" s="144">
        <v>40.15</v>
      </c>
      <c r="F68" s="139"/>
      <c r="G68" s="144">
        <v>40.15</v>
      </c>
      <c r="H68" s="141"/>
      <c r="J68" s="30">
        <v>40.15</v>
      </c>
      <c r="K68" s="30">
        <v>40.15</v>
      </c>
      <c r="M68" s="80"/>
      <c r="O68" s="102"/>
      <c r="P68" s="102"/>
      <c r="R68" s="103">
        <f>G68</f>
        <v>40.15</v>
      </c>
      <c r="S68" s="103">
        <f>G68</f>
        <v>40.15</v>
      </c>
      <c r="T68" s="103">
        <f>S68</f>
        <v>40.15</v>
      </c>
      <c r="U68" s="103">
        <f>S68</f>
        <v>40.15</v>
      </c>
      <c r="W68" s="103">
        <f>G68</f>
        <v>40.15</v>
      </c>
      <c r="X68" s="103">
        <f>W68</f>
        <v>40.15</v>
      </c>
      <c r="Y68" s="103">
        <f>W68</f>
        <v>40.15</v>
      </c>
    </row>
    <row r="69" spans="1:25" x14ac:dyDescent="0.2">
      <c r="A69" s="138" t="s">
        <v>167</v>
      </c>
      <c r="B69" s="66" t="s">
        <v>135</v>
      </c>
      <c r="C69" s="139">
        <v>0.7732</v>
      </c>
      <c r="D69" s="144"/>
      <c r="E69" s="139"/>
      <c r="F69" s="139"/>
      <c r="G69" s="139"/>
      <c r="H69" s="141"/>
      <c r="I69" s="30">
        <v>0.7732</v>
      </c>
      <c r="L69" s="80">
        <f>L52*I69</f>
        <v>4.6391999999999998</v>
      </c>
      <c r="M69" s="80">
        <f>M52*I69</f>
        <v>7.7320000000000002</v>
      </c>
      <c r="O69" s="102">
        <f>O52*I69</f>
        <v>15.464</v>
      </c>
      <c r="P69" s="102">
        <f>P52*I69</f>
        <v>78.093199999999996</v>
      </c>
      <c r="R69" s="102">
        <f>R52*J69</f>
        <v>0</v>
      </c>
      <c r="S69" s="102">
        <f>S52*K69</f>
        <v>0</v>
      </c>
      <c r="T69" s="102">
        <f>T52*J69</f>
        <v>0</v>
      </c>
      <c r="U69" s="102">
        <f>U52*J69</f>
        <v>0</v>
      </c>
      <c r="W69" s="103">
        <f>W52*K69</f>
        <v>0</v>
      </c>
      <c r="X69" s="103">
        <f>X52*K69</f>
        <v>0</v>
      </c>
      <c r="Y69" s="103">
        <f>Y52*K69</f>
        <v>0</v>
      </c>
    </row>
    <row r="70" spans="1:25" x14ac:dyDescent="0.2">
      <c r="A70" s="135" t="s">
        <v>168</v>
      </c>
      <c r="B70" s="66"/>
      <c r="C70" s="66"/>
      <c r="D70" s="144"/>
      <c r="E70" s="66"/>
      <c r="F70" s="66"/>
      <c r="G70" s="66"/>
      <c r="H70" s="141"/>
      <c r="M70" s="80"/>
      <c r="O70" s="102"/>
      <c r="P70" s="102"/>
      <c r="R70" s="102"/>
      <c r="S70" s="102"/>
      <c r="T70" s="102"/>
      <c r="U70" s="102"/>
      <c r="W70" s="103"/>
      <c r="X70" s="103"/>
      <c r="Y70" s="103"/>
    </row>
    <row r="71" spans="1:25" x14ac:dyDescent="0.2">
      <c r="A71" s="138" t="s">
        <v>169</v>
      </c>
      <c r="B71" s="66" t="s">
        <v>170</v>
      </c>
      <c r="C71" s="139">
        <v>5</v>
      </c>
      <c r="D71" s="144"/>
      <c r="E71" s="144">
        <v>28.72</v>
      </c>
      <c r="F71" s="66"/>
      <c r="G71" s="144">
        <v>28.72</v>
      </c>
      <c r="H71" s="141"/>
      <c r="I71" s="30">
        <v>5</v>
      </c>
      <c r="J71" s="30">
        <v>28.72</v>
      </c>
      <c r="K71" s="30">
        <v>28.72</v>
      </c>
      <c r="L71" s="80">
        <v>5</v>
      </c>
      <c r="M71" s="80">
        <v>5</v>
      </c>
      <c r="O71" s="102">
        <v>5</v>
      </c>
      <c r="P71" s="102">
        <v>5</v>
      </c>
      <c r="R71" s="103">
        <f>G71</f>
        <v>28.72</v>
      </c>
      <c r="S71" s="103">
        <f>G71</f>
        <v>28.72</v>
      </c>
      <c r="T71" s="103">
        <f>S71</f>
        <v>28.72</v>
      </c>
      <c r="U71" s="103">
        <f>S71</f>
        <v>28.72</v>
      </c>
      <c r="W71" s="103">
        <f>G71</f>
        <v>28.72</v>
      </c>
      <c r="X71" s="103">
        <f>W71</f>
        <v>28.72</v>
      </c>
      <c r="Y71" s="103">
        <f>W71</f>
        <v>28.72</v>
      </c>
    </row>
    <row r="72" spans="1:25" x14ac:dyDescent="0.2">
      <c r="A72" s="138" t="s">
        <v>171</v>
      </c>
      <c r="B72" s="66" t="s">
        <v>135</v>
      </c>
      <c r="C72" s="139">
        <v>0.45689999999999997</v>
      </c>
      <c r="D72" s="139"/>
      <c r="E72" s="139"/>
      <c r="F72" s="139"/>
      <c r="G72" s="139"/>
      <c r="H72" s="141"/>
      <c r="I72" s="30">
        <v>0.45689999999999997</v>
      </c>
      <c r="L72" s="80">
        <f>L52*I72</f>
        <v>2.7413999999999996</v>
      </c>
      <c r="M72" s="80">
        <f>M52*I72</f>
        <v>4.569</v>
      </c>
      <c r="O72" s="102">
        <f>O52*I72</f>
        <v>9.1379999999999999</v>
      </c>
      <c r="P72" s="102">
        <f>P52*I72</f>
        <v>46.146899999999995</v>
      </c>
      <c r="R72" s="102"/>
      <c r="S72" s="102"/>
      <c r="T72" s="102"/>
      <c r="U72" s="102"/>
      <c r="W72" s="103"/>
      <c r="X72" s="103"/>
      <c r="Y72" s="103"/>
    </row>
    <row r="73" spans="1:25" x14ac:dyDescent="0.2">
      <c r="A73" s="135" t="s">
        <v>172</v>
      </c>
      <c r="B73" s="66" t="s">
        <v>135</v>
      </c>
      <c r="C73" s="139" t="e">
        <f>#REF!</f>
        <v>#REF!</v>
      </c>
      <c r="D73" s="144"/>
      <c r="E73" s="144" t="e">
        <f>C73</f>
        <v>#REF!</v>
      </c>
      <c r="F73" s="144"/>
      <c r="G73" s="144" t="e">
        <f>C73</f>
        <v>#REF!</v>
      </c>
      <c r="H73" s="141"/>
      <c r="I73" s="64">
        <v>8.7900000000000006E-2</v>
      </c>
      <c r="J73" s="64">
        <v>8.7900000000000006E-2</v>
      </c>
      <c r="K73" s="64">
        <v>8.7900000000000006E-2</v>
      </c>
      <c r="L73" s="80">
        <f>-(L53+L54+L61+L62+L66+L69+L71+L72)*25%</f>
        <v>-14.855600000000003</v>
      </c>
      <c r="M73" s="80">
        <f>-(M53+M54+M61+M62+M66+M69+M71+M72)*25%</f>
        <v>-23.925999999999998</v>
      </c>
      <c r="O73" s="102">
        <f>O52*I73</f>
        <v>1.758</v>
      </c>
      <c r="P73" s="102">
        <f>P52*I73</f>
        <v>8.8779000000000003</v>
      </c>
      <c r="R73" s="102">
        <f>R52*J73</f>
        <v>8.8779000000000003</v>
      </c>
      <c r="S73" s="102">
        <f>S52*J73</f>
        <v>433.96230000000003</v>
      </c>
      <c r="T73" s="102">
        <f>T52*J73</f>
        <v>58.629300000000001</v>
      </c>
      <c r="U73" s="102">
        <f>U52*J73</f>
        <v>88.25160000000001</v>
      </c>
      <c r="W73" s="103">
        <f>W52*K73</f>
        <v>984.48</v>
      </c>
      <c r="X73" s="103">
        <f>X52*K73</f>
        <v>1722.8400000000001</v>
      </c>
      <c r="Y73" s="103">
        <f>Y52*K73</f>
        <v>19197.36</v>
      </c>
    </row>
    <row r="74" spans="1:25" x14ac:dyDescent="0.2">
      <c r="A74" s="135" t="s">
        <v>173</v>
      </c>
      <c r="B74" s="66"/>
      <c r="C74" s="139" t="e">
        <f>#REF!</f>
        <v>#REF!</v>
      </c>
      <c r="D74" s="144"/>
      <c r="E74" s="144" t="e">
        <f>C74</f>
        <v>#REF!</v>
      </c>
      <c r="F74" s="144"/>
      <c r="G74" s="144" t="e">
        <f>C74</f>
        <v>#REF!</v>
      </c>
      <c r="H74" s="141"/>
      <c r="I74" s="30">
        <v>1.2999999999999999E-3</v>
      </c>
      <c r="J74" s="30">
        <v>1.2999999999999999E-3</v>
      </c>
      <c r="K74" s="30">
        <v>1.2999999999999999E-3</v>
      </c>
      <c r="L74" s="106">
        <f>L52*I74</f>
        <v>7.7999999999999996E-3</v>
      </c>
      <c r="M74" s="80"/>
      <c r="O74" s="80">
        <f>-(O53+O54+O61+O62+O66+O69+O71+O72+O73)*5%</f>
        <v>-9.4083000000000006</v>
      </c>
      <c r="P74" s="107">
        <f>P52*I74</f>
        <v>0.1313</v>
      </c>
      <c r="R74" s="107">
        <f>R52*K74</f>
        <v>0.1313</v>
      </c>
      <c r="S74" s="107">
        <f>S52*J74</f>
        <v>6.4180999999999999</v>
      </c>
      <c r="T74" s="107">
        <f>T52*J74</f>
        <v>0.86709999999999998</v>
      </c>
      <c r="U74" s="107">
        <f>U52*J74</f>
        <v>1.3051999999999999</v>
      </c>
      <c r="W74" s="104">
        <f>W52*K74</f>
        <v>14.559999999999999</v>
      </c>
      <c r="X74" s="104">
        <f>X52*K74</f>
        <v>25.48</v>
      </c>
      <c r="Y74" s="104">
        <f>Y52*K74</f>
        <v>283.91999999999996</v>
      </c>
    </row>
    <row r="75" spans="1:25" x14ac:dyDescent="0.2">
      <c r="A75" s="135" t="s">
        <v>174</v>
      </c>
      <c r="B75" s="66"/>
      <c r="C75" s="139"/>
      <c r="D75" s="139"/>
      <c r="E75" s="139"/>
      <c r="F75" s="139"/>
      <c r="G75" s="139"/>
      <c r="H75" s="141"/>
      <c r="M75" s="80"/>
      <c r="O75" s="80"/>
      <c r="P75" s="80"/>
      <c r="R75" s="80"/>
      <c r="S75" s="80"/>
      <c r="T75" s="80"/>
      <c r="U75" s="80"/>
      <c r="W75" s="97"/>
      <c r="X75" s="97"/>
      <c r="Y75" s="97"/>
    </row>
    <row r="76" spans="1:25" x14ac:dyDescent="0.2">
      <c r="A76" s="138" t="s">
        <v>175</v>
      </c>
      <c r="B76" s="66" t="s">
        <v>135</v>
      </c>
      <c r="C76" s="139">
        <v>0.1163</v>
      </c>
      <c r="D76" s="139"/>
      <c r="E76" s="139">
        <v>0.1163</v>
      </c>
      <c r="F76" s="139"/>
      <c r="G76" s="144">
        <f>C76</f>
        <v>0.1163</v>
      </c>
      <c r="H76" s="141"/>
      <c r="I76" s="30">
        <v>0.1163</v>
      </c>
      <c r="J76" s="30">
        <v>0.1163</v>
      </c>
      <c r="K76" s="30">
        <v>0.1163</v>
      </c>
      <c r="L76" s="80">
        <f>L52*I76</f>
        <v>0.69779999999999998</v>
      </c>
      <c r="M76" s="80">
        <f>M52*I76</f>
        <v>1.163</v>
      </c>
      <c r="O76" s="80">
        <f>O52*I76</f>
        <v>2.3260000000000001</v>
      </c>
      <c r="P76" s="80">
        <f>P52*I76</f>
        <v>11.7463</v>
      </c>
      <c r="R76" s="80">
        <f>R52*J76</f>
        <v>11.7463</v>
      </c>
      <c r="S76" s="80">
        <f>S52*J76</f>
        <v>574.17309999999998</v>
      </c>
      <c r="T76" s="80">
        <f>T52*J76</f>
        <v>77.572100000000006</v>
      </c>
      <c r="U76" s="80">
        <f>U52*J76</f>
        <v>116.76520000000001</v>
      </c>
      <c r="W76" s="97">
        <f>W52*K76</f>
        <v>1302.56</v>
      </c>
      <c r="X76" s="97">
        <f>X52*K76</f>
        <v>2279.48</v>
      </c>
      <c r="Y76" s="97">
        <f>Y52*K76</f>
        <v>25399.920000000002</v>
      </c>
    </row>
    <row r="77" spans="1:25" x14ac:dyDescent="0.2">
      <c r="A77" s="138" t="s">
        <v>176</v>
      </c>
      <c r="B77" s="66" t="s">
        <v>135</v>
      </c>
      <c r="C77" s="139">
        <v>2.5000000000000001E-3</v>
      </c>
      <c r="D77" s="139"/>
      <c r="E77" s="139">
        <v>2.5000000000000001E-3</v>
      </c>
      <c r="F77" s="139"/>
      <c r="G77" s="144">
        <f>C77</f>
        <v>2.5000000000000001E-3</v>
      </c>
      <c r="H77" s="141"/>
      <c r="I77" s="30">
        <v>2.5000000000000001E-3</v>
      </c>
      <c r="J77" s="30">
        <v>2.5000000000000001E-3</v>
      </c>
      <c r="K77" s="30">
        <v>2.5000000000000001E-3</v>
      </c>
      <c r="L77" s="80">
        <f>L52*I77</f>
        <v>1.4999999999999999E-2</v>
      </c>
      <c r="M77" s="80">
        <f>M52*I77</f>
        <v>2.5000000000000001E-2</v>
      </c>
      <c r="O77" s="80">
        <f>O52*I77</f>
        <v>0.05</v>
      </c>
      <c r="P77" s="80">
        <f>P52*I77</f>
        <v>0.2525</v>
      </c>
      <c r="R77" s="80">
        <f>R52*J77</f>
        <v>0.2525</v>
      </c>
      <c r="S77" s="80">
        <f>S52*J77</f>
        <v>12.342500000000001</v>
      </c>
      <c r="T77" s="80">
        <f>T52*J77</f>
        <v>1.6675</v>
      </c>
      <c r="U77" s="80">
        <f>U52*J77</f>
        <v>2.5100000000000002</v>
      </c>
      <c r="W77" s="97">
        <f>W52*K77</f>
        <v>28</v>
      </c>
      <c r="X77" s="97">
        <f>X52*K77</f>
        <v>49</v>
      </c>
      <c r="Y77" s="97">
        <f>Y52*K77</f>
        <v>546</v>
      </c>
    </row>
    <row r="78" spans="1:25" x14ac:dyDescent="0.2">
      <c r="A78" s="145" t="s">
        <v>177</v>
      </c>
      <c r="B78" s="146" t="s">
        <v>135</v>
      </c>
      <c r="C78" s="147">
        <v>0.40039999999999998</v>
      </c>
      <c r="D78" s="147"/>
      <c r="E78" s="147">
        <v>0.40039999999999998</v>
      </c>
      <c r="F78" s="147"/>
      <c r="G78" s="144">
        <f>C78</f>
        <v>0.40039999999999998</v>
      </c>
      <c r="H78" s="141"/>
      <c r="I78" s="30">
        <v>0.40039999999999998</v>
      </c>
      <c r="J78" s="30">
        <v>0.40039999999999998</v>
      </c>
      <c r="K78" s="30">
        <v>0.40039999999999998</v>
      </c>
      <c r="L78" s="80">
        <f>L52*I78</f>
        <v>2.4024000000000001</v>
      </c>
      <c r="M78" s="80">
        <f>M52*I78</f>
        <v>4.0039999999999996</v>
      </c>
      <c r="O78" s="80">
        <f>O52*I78</f>
        <v>8.0079999999999991</v>
      </c>
      <c r="P78" s="80">
        <f>P52*I78</f>
        <v>40.440399999999997</v>
      </c>
      <c r="R78" s="80">
        <f>R52*J78</f>
        <v>40.440399999999997</v>
      </c>
      <c r="S78" s="80">
        <f>S52*J78</f>
        <v>1976.7747999999999</v>
      </c>
      <c r="T78" s="80">
        <f>T52*J78</f>
        <v>267.0668</v>
      </c>
      <c r="U78" s="80">
        <f>U52*J78</f>
        <v>402.0016</v>
      </c>
      <c r="W78" s="97">
        <f>W52*K78</f>
        <v>4484.4799999999996</v>
      </c>
      <c r="X78" s="97">
        <f>X52*K78</f>
        <v>7847.8399999999992</v>
      </c>
      <c r="Y78" s="97">
        <f>Y52*K78</f>
        <v>87447.360000000001</v>
      </c>
    </row>
    <row r="79" spans="1:25" ht="13.5" thickBot="1" x14ac:dyDescent="0.25">
      <c r="A79" s="148" t="s">
        <v>178</v>
      </c>
      <c r="B79" s="149"/>
      <c r="C79" s="114">
        <f>5.3668-0.2282+0.8382+0.7904+0.8449+0.7732+0.4569+0.0879+0.0013+0.1163+0.0025+0.4004</f>
        <v>9.4505999999999979</v>
      </c>
      <c r="D79" s="114"/>
      <c r="E79" s="114" t="e">
        <f>E57+E58+E61+E62+E66+E69+E72+E73+E74+E76+E77+E78</f>
        <v>#REF!</v>
      </c>
      <c r="F79" s="114"/>
      <c r="G79" s="114" t="e">
        <f>G57+G58+G61+G62+G66+G69+G72+G73+G74+G76+G77+G78</f>
        <v>#REF!</v>
      </c>
      <c r="H79" s="114"/>
      <c r="I79" s="114">
        <v>9.4505999999999997</v>
      </c>
      <c r="J79" s="114">
        <v>8.5427999999999997</v>
      </c>
      <c r="K79" s="114">
        <v>5.9752000000000001</v>
      </c>
      <c r="L79" s="115">
        <f>SUM(L53:L78)</f>
        <v>46.320600000000006</v>
      </c>
      <c r="M79" s="116">
        <f>SUM(M53:M78)</f>
        <v>74.688000000000002</v>
      </c>
      <c r="O79" s="117">
        <f>SUM(O53:O78)</f>
        <v>184.57770000000002</v>
      </c>
      <c r="P79" s="117">
        <f>SUM(P53:P78)</f>
        <v>959.51060000000007</v>
      </c>
      <c r="R79" s="117">
        <f>SUM(R53:R78)</f>
        <v>931.69279999999992</v>
      </c>
      <c r="S79" s="117">
        <f>SUM(S53:S78)</f>
        <v>42244.673600000002</v>
      </c>
      <c r="T79" s="117">
        <f>SUM(T53:T78)</f>
        <v>5766.9175999999979</v>
      </c>
      <c r="U79" s="117">
        <f>SUM(U53:U78)</f>
        <v>8645.8411999999989</v>
      </c>
      <c r="W79" s="118">
        <f>SUM(W53:W78)</f>
        <v>135729.73800000001</v>
      </c>
      <c r="X79" s="118">
        <f>SUM(X53:X78)</f>
        <v>223727.66339999999</v>
      </c>
      <c r="Y79" s="118">
        <f>SUM(Y53:Y78)</f>
        <v>1686551.9353999998</v>
      </c>
    </row>
    <row r="80" spans="1:25" ht="14.25" thickTop="1" thickBot="1" x14ac:dyDescent="0.25">
      <c r="A80" s="148" t="s">
        <v>179</v>
      </c>
      <c r="B80" s="149" t="s">
        <v>166</v>
      </c>
      <c r="C80" s="150">
        <f>C71</f>
        <v>5</v>
      </c>
      <c r="D80" s="150"/>
      <c r="E80" s="150">
        <f>E68+E71</f>
        <v>68.87</v>
      </c>
      <c r="F80" s="150"/>
      <c r="G80" s="150">
        <f>G68+G71</f>
        <v>68.87</v>
      </c>
      <c r="H80" s="114"/>
      <c r="I80" s="120">
        <f>I53+I54+I55+I56+I61+I62+I66+I69+I72+I73</f>
        <v>9.158299999999997</v>
      </c>
      <c r="J80" s="64" t="e">
        <f>E79-J79</f>
        <v>#REF!</v>
      </c>
      <c r="K80" s="64" t="e">
        <f>G79-K79</f>
        <v>#REF!</v>
      </c>
      <c r="M80" s="30" t="s">
        <v>180</v>
      </c>
      <c r="O80" s="121">
        <f>O52*I82</f>
        <v>3.7240000000000002</v>
      </c>
      <c r="P80" s="121">
        <f>P52*I82</f>
        <v>18.8062</v>
      </c>
      <c r="R80" s="121">
        <f>R52*J82</f>
        <v>18.8062</v>
      </c>
      <c r="S80" s="121">
        <f>S52*K82</f>
        <v>919.26940000000002</v>
      </c>
      <c r="T80" s="121">
        <f>T52*J82</f>
        <v>124.19540000000001</v>
      </c>
      <c r="U80" s="121">
        <f>U52*J82</f>
        <v>186.94480000000001</v>
      </c>
      <c r="W80" s="122">
        <f>W52*K82</f>
        <v>2085.44</v>
      </c>
      <c r="X80" s="122">
        <f>X52*K82</f>
        <v>3649.52</v>
      </c>
      <c r="Y80" s="122">
        <f>Y52*K82</f>
        <v>40666.080000000002</v>
      </c>
    </row>
    <row r="81" spans="1:25" ht="14.25" thickTop="1" thickBot="1" x14ac:dyDescent="0.25">
      <c r="A81" s="148" t="s">
        <v>181</v>
      </c>
      <c r="B81" s="151" t="s">
        <v>158</v>
      </c>
      <c r="C81" s="114"/>
      <c r="D81" s="114"/>
      <c r="E81" s="114"/>
      <c r="F81" s="114"/>
      <c r="G81" s="114" t="e">
        <f>G60+G65</f>
        <v>#REF!</v>
      </c>
      <c r="H81" s="114"/>
      <c r="I81" s="30" t="s">
        <v>182</v>
      </c>
      <c r="J81" s="30" t="s">
        <v>182</v>
      </c>
      <c r="K81" s="30" t="s">
        <v>182</v>
      </c>
      <c r="M81" s="30" t="s">
        <v>183</v>
      </c>
      <c r="O81" s="121">
        <f>O52*I83</f>
        <v>4.5999999999999999E-2</v>
      </c>
      <c r="P81" s="121">
        <f>P52*I83</f>
        <v>0.23230000000000001</v>
      </c>
      <c r="R81" s="121">
        <f>R52*J83</f>
        <v>0.23230000000000001</v>
      </c>
      <c r="S81" s="121">
        <f>S52*K83</f>
        <v>11.3551</v>
      </c>
      <c r="T81" s="121">
        <f>T52*J83</f>
        <v>1.5341</v>
      </c>
      <c r="U81" s="121">
        <f>U52*J83</f>
        <v>2.3092000000000001</v>
      </c>
      <c r="W81" s="122">
        <f>W52*K83</f>
        <v>25.759999999999998</v>
      </c>
      <c r="X81" s="122">
        <f>X52*K83</f>
        <v>45.08</v>
      </c>
      <c r="Y81" s="122">
        <f>Y52*K83</f>
        <v>502.32</v>
      </c>
    </row>
    <row r="82" spans="1:25" ht="13.5" thickTop="1" x14ac:dyDescent="0.2">
      <c r="A82" s="66"/>
      <c r="B82" s="66"/>
      <c r="C82" s="66"/>
      <c r="D82" s="970" t="s">
        <v>184</v>
      </c>
      <c r="E82" s="970"/>
      <c r="F82" s="971"/>
      <c r="G82" s="972" t="s">
        <v>185</v>
      </c>
      <c r="H82" s="970"/>
      <c r="I82" s="30">
        <v>0.1862</v>
      </c>
      <c r="J82" s="30">
        <v>0.1862</v>
      </c>
      <c r="K82" s="30">
        <v>0.1862</v>
      </c>
      <c r="M82" s="30" t="s">
        <v>186</v>
      </c>
      <c r="O82" s="121">
        <f>O52*I84</f>
        <v>0.48</v>
      </c>
      <c r="P82" s="121">
        <f>P52*I84</f>
        <v>2.4239999999999999</v>
      </c>
      <c r="R82" s="121">
        <f>R52*J84</f>
        <v>2.4239999999999999</v>
      </c>
      <c r="S82" s="121">
        <f>S52*J84</f>
        <v>118.488</v>
      </c>
      <c r="T82" s="121">
        <f>T52*J84</f>
        <v>16.007999999999999</v>
      </c>
      <c r="U82" s="121">
        <f>U52*J84</f>
        <v>24.096</v>
      </c>
      <c r="W82" s="122">
        <v>0</v>
      </c>
      <c r="X82" s="122">
        <v>0</v>
      </c>
      <c r="Y82" s="122">
        <v>0</v>
      </c>
    </row>
    <row r="83" spans="1:25" x14ac:dyDescent="0.2">
      <c r="A83" s="66"/>
      <c r="B83" s="66"/>
      <c r="C83" s="66"/>
      <c r="D83" s="152" t="s">
        <v>187</v>
      </c>
      <c r="E83" s="153" t="s">
        <v>188</v>
      </c>
      <c r="F83" s="154" t="s">
        <v>189</v>
      </c>
      <c r="G83" s="973" t="s">
        <v>190</v>
      </c>
      <c r="H83" s="974"/>
      <c r="I83" s="64">
        <v>2.3E-3</v>
      </c>
      <c r="J83" s="64">
        <v>2.3E-3</v>
      </c>
      <c r="K83" s="64">
        <v>2.3E-3</v>
      </c>
      <c r="M83" s="30" t="s">
        <v>191</v>
      </c>
      <c r="O83" s="121">
        <f>(SUM(O58,O66:O73))*12%</f>
        <v>5.2432800000000004</v>
      </c>
      <c r="P83" s="121">
        <f>(SUM(P58,P66:P73))*12%</f>
        <v>24.048564000000002</v>
      </c>
      <c r="R83" s="121">
        <f>(SUM(R58,R66:R73))*12%</f>
        <v>20.551656000000001</v>
      </c>
      <c r="S83" s="121">
        <f>(SUM(S58,S66:S73))*12%</f>
        <v>608.88007199999993</v>
      </c>
      <c r="T83" s="121">
        <f>(SUM(T58,T66:T73))*12%</f>
        <v>89.408951999999985</v>
      </c>
      <c r="U83" s="121">
        <f>(SUM(U58,U66:U73))*12%</f>
        <v>130.40702399999998</v>
      </c>
      <c r="W83" s="122">
        <f>(SUM(W58,W65:W73))*12%</f>
        <v>4627.1220000000003</v>
      </c>
      <c r="X83" s="122">
        <f>(SUM(X58,X65:X73))*12%</f>
        <v>7191.1211999999987</v>
      </c>
      <c r="Y83" s="122">
        <f>(SUM(Y58,Y65:Y73))*12%</f>
        <v>27290.943599999995</v>
      </c>
    </row>
    <row r="84" spans="1:25" ht="13.5" thickBot="1" x14ac:dyDescent="0.25">
      <c r="A84" s="66"/>
      <c r="B84" s="66"/>
      <c r="C84" s="66"/>
      <c r="D84" s="155" t="e">
        <f>#REF!</f>
        <v>#REF!</v>
      </c>
      <c r="E84" s="155" t="e">
        <f>#REF!</f>
        <v>#REF!</v>
      </c>
      <c r="F84" s="155" t="e">
        <f>#REF!</f>
        <v>#REF!</v>
      </c>
      <c r="G84" s="156">
        <v>0.12</v>
      </c>
      <c r="H84" s="157"/>
      <c r="I84" s="64">
        <v>2.4E-2</v>
      </c>
      <c r="J84" s="64">
        <v>2.4E-2</v>
      </c>
      <c r="O84" s="116">
        <f>SUM(O79:O83)</f>
        <v>194.07097999999999</v>
      </c>
      <c r="P84" s="116">
        <f>SUM(P79:P83)</f>
        <v>1005.0216640000001</v>
      </c>
      <c r="R84" s="116">
        <f>SUM(R79:R83)</f>
        <v>973.70695599999988</v>
      </c>
      <c r="S84" s="116">
        <f>SUM(S79:S83)</f>
        <v>43902.666171999997</v>
      </c>
      <c r="T84" s="116">
        <f>SUM(T79:T83)</f>
        <v>5998.064051999997</v>
      </c>
      <c r="U84" s="116">
        <f>SUM(U79:U83)</f>
        <v>8989.5982239999976</v>
      </c>
      <c r="W84" s="116">
        <f>SUM(W79:W83)</f>
        <v>142468.06000000003</v>
      </c>
      <c r="X84" s="116">
        <f>SUM(X79:X83)</f>
        <v>234613.38459999996</v>
      </c>
      <c r="Y84" s="116">
        <f>SUM(Y79:Y83)</f>
        <v>1755011.2789999999</v>
      </c>
    </row>
    <row r="85" spans="1:25" ht="13.5" thickTop="1" x14ac:dyDescent="0.2">
      <c r="A85" s="65" t="s">
        <v>192</v>
      </c>
      <c r="B85" s="65"/>
      <c r="C85" s="158" t="s">
        <v>193</v>
      </c>
      <c r="D85" s="66"/>
      <c r="E85" s="66"/>
      <c r="F85" s="66"/>
      <c r="G85" s="66"/>
      <c r="H85" s="66"/>
    </row>
    <row r="86" spans="1:25" x14ac:dyDescent="0.2">
      <c r="A86" s="65"/>
      <c r="B86" s="66"/>
      <c r="C86" s="65"/>
      <c r="D86" s="66"/>
      <c r="E86" s="66"/>
      <c r="F86" s="66"/>
      <c r="G86" s="66"/>
      <c r="H86" s="66"/>
    </row>
    <row r="87" spans="1:25" x14ac:dyDescent="0.2">
      <c r="A87" s="159" t="s">
        <v>194</v>
      </c>
      <c r="B87" s="132"/>
      <c r="C87" s="159" t="s">
        <v>195</v>
      </c>
      <c r="D87" s="66"/>
      <c r="E87" s="66"/>
      <c r="F87" s="66"/>
      <c r="G87" s="66"/>
      <c r="H87" s="66"/>
    </row>
    <row r="88" spans="1:25" x14ac:dyDescent="0.2">
      <c r="A88" s="65" t="s">
        <v>196</v>
      </c>
      <c r="B88" s="66"/>
      <c r="C88" s="65" t="s">
        <v>197</v>
      </c>
      <c r="D88" s="66"/>
      <c r="E88" s="66"/>
      <c r="F88" s="66"/>
      <c r="G88" s="66"/>
      <c r="H88" s="66"/>
    </row>
    <row r="89" spans="1:25" x14ac:dyDescent="0.2">
      <c r="A89" s="69" t="s">
        <v>64</v>
      </c>
      <c r="B89" s="69"/>
      <c r="C89" s="69"/>
      <c r="D89" s="69"/>
      <c r="E89" s="69"/>
      <c r="F89" s="69"/>
      <c r="G89" s="69"/>
      <c r="H89" s="69"/>
    </row>
    <row r="90" spans="1:25" x14ac:dyDescent="0.2">
      <c r="A90" s="69" t="s">
        <v>0</v>
      </c>
      <c r="B90" s="69"/>
      <c r="C90" s="69"/>
      <c r="D90" s="69"/>
      <c r="E90" s="69"/>
      <c r="F90" s="69"/>
      <c r="G90" s="69"/>
      <c r="H90" s="69"/>
    </row>
    <row r="91" spans="1:25" x14ac:dyDescent="0.2">
      <c r="A91" s="69"/>
      <c r="B91" s="69"/>
      <c r="C91" s="69"/>
      <c r="D91" s="69"/>
      <c r="E91" s="69"/>
      <c r="F91" s="69"/>
      <c r="G91" s="69"/>
      <c r="H91" s="69"/>
    </row>
    <row r="92" spans="1:25" x14ac:dyDescent="0.2">
      <c r="A92" s="160" t="s">
        <v>60</v>
      </c>
      <c r="B92" s="69"/>
      <c r="C92" s="69"/>
      <c r="D92" s="69"/>
      <c r="E92" s="69"/>
      <c r="F92" s="69"/>
      <c r="G92" s="69"/>
      <c r="H92" s="69"/>
      <c r="W92" s="34" t="s">
        <v>143</v>
      </c>
      <c r="X92" s="34" t="s">
        <v>144</v>
      </c>
      <c r="Y92" s="34" t="s">
        <v>1</v>
      </c>
    </row>
    <row r="93" spans="1:25" x14ac:dyDescent="0.2">
      <c r="A93" s="161" t="s">
        <v>55</v>
      </c>
      <c r="B93" s="69"/>
      <c r="C93" s="69"/>
      <c r="D93" s="69"/>
      <c r="E93" s="69"/>
      <c r="F93" s="69"/>
      <c r="G93" s="69"/>
      <c r="H93" s="69"/>
      <c r="W93" s="83" t="s">
        <v>145</v>
      </c>
      <c r="X93" s="83" t="s">
        <v>145</v>
      </c>
      <c r="Y93" s="83" t="s">
        <v>145</v>
      </c>
    </row>
    <row r="94" spans="1:25" x14ac:dyDescent="0.2">
      <c r="A94" s="161"/>
      <c r="B94" s="69"/>
      <c r="C94" s="69"/>
      <c r="D94" s="69"/>
      <c r="E94" s="69"/>
      <c r="F94" s="69"/>
      <c r="G94" s="69"/>
      <c r="H94" s="69"/>
      <c r="L94" s="84" t="s">
        <v>146</v>
      </c>
      <c r="M94" s="73" t="s">
        <v>6</v>
      </c>
      <c r="N94" s="73"/>
      <c r="O94" s="84" t="s">
        <v>146</v>
      </c>
      <c r="P94" s="73" t="s">
        <v>6</v>
      </c>
      <c r="R94" s="85" t="s">
        <v>147</v>
      </c>
      <c r="S94" s="85" t="s">
        <v>147</v>
      </c>
      <c r="T94" s="85" t="s">
        <v>147</v>
      </c>
      <c r="U94" s="85" t="s">
        <v>147</v>
      </c>
      <c r="W94" s="86">
        <f>0.2*700</f>
        <v>140</v>
      </c>
      <c r="X94" s="86">
        <f>0.31*700</f>
        <v>217</v>
      </c>
      <c r="Y94" s="86">
        <f>0.37*2100</f>
        <v>777</v>
      </c>
    </row>
    <row r="95" spans="1:25" x14ac:dyDescent="0.2">
      <c r="A95" s="975"/>
      <c r="B95" s="976"/>
      <c r="C95" s="162" t="s">
        <v>6</v>
      </c>
      <c r="D95" s="977" t="s">
        <v>47</v>
      </c>
      <c r="E95" s="978"/>
      <c r="F95" s="979"/>
      <c r="G95" s="977" t="s">
        <v>13</v>
      </c>
      <c r="H95" s="979"/>
      <c r="I95" s="162" t="s">
        <v>6</v>
      </c>
      <c r="J95" s="162" t="s">
        <v>47</v>
      </c>
      <c r="K95" s="162" t="s">
        <v>13</v>
      </c>
      <c r="L95" s="80" t="s">
        <v>130</v>
      </c>
      <c r="M95" s="88" t="s">
        <v>148</v>
      </c>
      <c r="O95" s="80" t="s">
        <v>130</v>
      </c>
      <c r="P95" s="80" t="s">
        <v>130</v>
      </c>
      <c r="R95" s="80" t="s">
        <v>130</v>
      </c>
      <c r="S95" s="80" t="s">
        <v>130</v>
      </c>
      <c r="T95" s="80" t="s">
        <v>130</v>
      </c>
      <c r="U95" s="80" t="s">
        <v>130</v>
      </c>
      <c r="W95" s="89" t="s">
        <v>130</v>
      </c>
      <c r="X95" s="89" t="s">
        <v>130</v>
      </c>
      <c r="Y95" s="89" t="s">
        <v>130</v>
      </c>
    </row>
    <row r="96" spans="1:25" x14ac:dyDescent="0.2">
      <c r="A96" s="163" t="s">
        <v>149</v>
      </c>
      <c r="B96" s="69"/>
      <c r="C96" s="164"/>
      <c r="D96" s="164"/>
      <c r="E96" s="164"/>
      <c r="F96" s="164"/>
      <c r="G96" s="164"/>
      <c r="H96" s="165"/>
      <c r="L96" s="93">
        <v>4</v>
      </c>
      <c r="M96" s="93">
        <v>18</v>
      </c>
      <c r="O96" s="93">
        <v>4</v>
      </c>
      <c r="P96" s="93">
        <v>101</v>
      </c>
      <c r="R96" s="93">
        <v>101</v>
      </c>
      <c r="S96" s="93">
        <v>4937</v>
      </c>
      <c r="T96" s="93">
        <v>667</v>
      </c>
      <c r="U96" s="93">
        <v>1004</v>
      </c>
      <c r="W96" s="94">
        <f>(929-908)*700</f>
        <v>14700</v>
      </c>
      <c r="X96" s="94">
        <f>(1002-977)*700</f>
        <v>17500</v>
      </c>
      <c r="Y96" s="94">
        <f>(2677-2571)*2100</f>
        <v>222600</v>
      </c>
    </row>
    <row r="97" spans="1:25" x14ac:dyDescent="0.2">
      <c r="A97" s="166" t="s">
        <v>150</v>
      </c>
      <c r="B97" s="69" t="s">
        <v>135</v>
      </c>
      <c r="C97" s="167" t="e">
        <f>C101-C98-C99-C100</f>
        <v>#REF!</v>
      </c>
      <c r="D97" s="167"/>
      <c r="E97" s="167" t="e">
        <f>E101-E98-E99-E100</f>
        <v>#REF!</v>
      </c>
      <c r="F97" s="167"/>
      <c r="G97" s="167" t="e">
        <f>G101-G98-G99-G100</f>
        <v>#REF!</v>
      </c>
      <c r="H97" s="168"/>
      <c r="I97" s="30">
        <v>5.2070999999999996</v>
      </c>
      <c r="J97" s="30">
        <v>5.2070999999999996</v>
      </c>
      <c r="K97" s="30">
        <v>5.2070999999999996</v>
      </c>
      <c r="L97" s="80">
        <f>L96*(I97+I99+I100)</f>
        <v>23.252399999999998</v>
      </c>
      <c r="M97" s="80">
        <f>M96*(I97+I99+I100)</f>
        <v>104.63579999999999</v>
      </c>
      <c r="O97" s="80">
        <f>O96*(I97+I99+I100)</f>
        <v>23.252399999999998</v>
      </c>
      <c r="P97" s="80">
        <f>P96*(I97+I99+I100)</f>
        <v>587.12309999999991</v>
      </c>
      <c r="R97" s="80">
        <f>R96*(J97+J99+J100)</f>
        <v>587.12309999999991</v>
      </c>
      <c r="S97" s="80">
        <f>S96*(J97+J99+J100)</f>
        <v>28699.274699999998</v>
      </c>
      <c r="T97" s="80">
        <f>T96*(J97+J99+J100)</f>
        <v>3877.3376999999996</v>
      </c>
      <c r="U97" s="80">
        <f>U96*(J97+J99+J100)</f>
        <v>5836.3523999999998</v>
      </c>
      <c r="W97" s="97">
        <f>W96*(K97+K99+K100)</f>
        <v>85452.569999999992</v>
      </c>
      <c r="X97" s="97">
        <f>X96*(K97+K99+K100)</f>
        <v>101729.24999999999</v>
      </c>
      <c r="Y97" s="97">
        <f>Y96*(K97+K99+K100)</f>
        <v>1293996.0599999998</v>
      </c>
    </row>
    <row r="98" spans="1:25" x14ac:dyDescent="0.2">
      <c r="A98" s="166" t="s">
        <v>151</v>
      </c>
      <c r="B98" s="69" t="s">
        <v>135</v>
      </c>
      <c r="C98" s="167">
        <v>1.77E-2</v>
      </c>
      <c r="D98" s="167"/>
      <c r="E98" s="167">
        <v>1.77E-2</v>
      </c>
      <c r="F98" s="167"/>
      <c r="G98" s="167">
        <v>1.77E-2</v>
      </c>
      <c r="H98" s="169"/>
      <c r="I98" s="64">
        <v>1.77E-2</v>
      </c>
      <c r="J98" s="64">
        <v>1.77E-2</v>
      </c>
      <c r="K98" s="30">
        <v>1.77E-2</v>
      </c>
      <c r="L98" s="80">
        <f>L96*I98</f>
        <v>7.0800000000000002E-2</v>
      </c>
      <c r="M98" s="80">
        <f>M96*I98</f>
        <v>0.31859999999999999</v>
      </c>
      <c r="O98" s="80">
        <f>O96*I98</f>
        <v>7.0800000000000002E-2</v>
      </c>
      <c r="P98" s="80">
        <f>P96*I98</f>
        <v>1.7877000000000001</v>
      </c>
      <c r="R98" s="80">
        <f>R96*J98</f>
        <v>1.7877000000000001</v>
      </c>
      <c r="S98" s="80">
        <f>S96*J98</f>
        <v>87.384900000000002</v>
      </c>
      <c r="T98" s="80">
        <f>T96*J98</f>
        <v>11.805900000000001</v>
      </c>
      <c r="U98" s="80">
        <f>U96*J98</f>
        <v>17.770800000000001</v>
      </c>
      <c r="W98" s="97">
        <f>W96*K98</f>
        <v>260.19</v>
      </c>
      <c r="X98" s="97">
        <f>X96*K98</f>
        <v>309.75</v>
      </c>
      <c r="Y98" s="97">
        <f>Y96*K98</f>
        <v>3940.02</v>
      </c>
    </row>
    <row r="99" spans="1:25" x14ac:dyDescent="0.2">
      <c r="A99" s="166" t="s">
        <v>152</v>
      </c>
      <c r="B99" s="69" t="s">
        <v>135</v>
      </c>
      <c r="C99" s="167">
        <v>0.48470000000000002</v>
      </c>
      <c r="D99" s="167"/>
      <c r="E99" s="167">
        <v>0.48470000000000002</v>
      </c>
      <c r="F99" s="167"/>
      <c r="G99" s="167">
        <v>0.48470000000000002</v>
      </c>
      <c r="H99" s="169"/>
      <c r="I99" s="64">
        <v>0.48470000000000002</v>
      </c>
      <c r="J99" s="64">
        <v>0.48470000000000002</v>
      </c>
      <c r="K99" s="64">
        <v>0.48470000000000002</v>
      </c>
      <c r="M99" s="80"/>
      <c r="O99" s="80"/>
      <c r="P99" s="80"/>
      <c r="R99" s="80"/>
      <c r="S99" s="80"/>
      <c r="T99" s="80"/>
      <c r="U99" s="80"/>
      <c r="W99" s="97"/>
      <c r="X99" s="97"/>
      <c r="Y99" s="97"/>
    </row>
    <row r="100" spans="1:25" x14ac:dyDescent="0.2">
      <c r="A100" s="166" t="s">
        <v>153</v>
      </c>
      <c r="B100" s="69" t="s">
        <v>135</v>
      </c>
      <c r="C100" s="167">
        <v>0.12130000000000001</v>
      </c>
      <c r="D100" s="167"/>
      <c r="E100" s="167">
        <v>0.12130000000000001</v>
      </c>
      <c r="F100" s="167"/>
      <c r="G100" s="167">
        <v>0.12130000000000001</v>
      </c>
      <c r="H100" s="169"/>
      <c r="I100" s="64">
        <v>0.12130000000000001</v>
      </c>
      <c r="J100" s="64">
        <v>0.12130000000000001</v>
      </c>
      <c r="K100" s="64">
        <v>0.12130000000000001</v>
      </c>
      <c r="M100" s="80"/>
      <c r="O100" s="80"/>
      <c r="P100" s="80"/>
      <c r="R100" s="80"/>
      <c r="S100" s="80"/>
      <c r="T100" s="80"/>
      <c r="U100" s="80"/>
      <c r="W100" s="97"/>
      <c r="X100" s="97"/>
      <c r="Y100" s="97"/>
    </row>
    <row r="101" spans="1:25" x14ac:dyDescent="0.2">
      <c r="A101" s="166" t="s">
        <v>154</v>
      </c>
      <c r="B101" s="69"/>
      <c r="C101" s="170" t="e">
        <f>#REF!</f>
        <v>#REF!</v>
      </c>
      <c r="D101" s="170"/>
      <c r="E101" s="170" t="e">
        <f>C101</f>
        <v>#REF!</v>
      </c>
      <c r="F101" s="170"/>
      <c r="G101" s="170" t="e">
        <f>C101</f>
        <v>#REF!</v>
      </c>
      <c r="H101" s="171"/>
      <c r="M101" s="80"/>
      <c r="O101" s="80"/>
      <c r="P101" s="80"/>
      <c r="R101" s="80"/>
      <c r="S101" s="80"/>
      <c r="T101" s="80"/>
      <c r="U101" s="80"/>
      <c r="W101" s="97"/>
      <c r="X101" s="97"/>
      <c r="Y101" s="97"/>
    </row>
    <row r="102" spans="1:25" x14ac:dyDescent="0.2">
      <c r="A102" s="163" t="s">
        <v>155</v>
      </c>
      <c r="B102" s="69" t="s">
        <v>135</v>
      </c>
      <c r="C102" s="167" t="e">
        <f>(-517596.45+98324.4)/#REF!</f>
        <v>#REF!</v>
      </c>
      <c r="D102" s="167"/>
      <c r="E102" s="167"/>
      <c r="F102" s="167"/>
      <c r="G102" s="167"/>
      <c r="H102" s="168"/>
      <c r="I102" s="64">
        <v>-0.19439999999999999</v>
      </c>
      <c r="J102" s="101"/>
      <c r="K102" s="101"/>
      <c r="L102" s="80">
        <f>L96*I102</f>
        <v>-0.77759999999999996</v>
      </c>
      <c r="M102" s="80">
        <f>M96*I102</f>
        <v>-3.4991999999999996</v>
      </c>
      <c r="O102" s="102">
        <f>O96*I102</f>
        <v>-0.77759999999999996</v>
      </c>
      <c r="P102" s="102">
        <f>P96*I102</f>
        <v>-19.634399999999999</v>
      </c>
      <c r="R102" s="102">
        <f>R96*J102</f>
        <v>0</v>
      </c>
      <c r="S102" s="102">
        <f>S96*K102</f>
        <v>0</v>
      </c>
      <c r="T102" s="102">
        <f>T96*J102</f>
        <v>0</v>
      </c>
      <c r="U102" s="102">
        <f>U96*J102</f>
        <v>0</v>
      </c>
      <c r="W102" s="103">
        <f>W96*K102</f>
        <v>0</v>
      </c>
      <c r="X102" s="103">
        <f>X96*K102</f>
        <v>0</v>
      </c>
      <c r="Y102" s="103">
        <f>Y96*K102</f>
        <v>0</v>
      </c>
    </row>
    <row r="103" spans="1:25" x14ac:dyDescent="0.2">
      <c r="A103" s="163" t="s">
        <v>156</v>
      </c>
      <c r="B103" s="69"/>
      <c r="C103" s="167"/>
      <c r="D103" s="167"/>
      <c r="E103" s="167"/>
      <c r="F103" s="167"/>
      <c r="G103" s="167"/>
      <c r="H103" s="168"/>
      <c r="M103" s="80"/>
      <c r="O103" s="80"/>
      <c r="P103" s="80"/>
      <c r="R103" s="80"/>
      <c r="S103" s="80"/>
      <c r="T103" s="80"/>
      <c r="U103" s="80"/>
      <c r="W103" s="97"/>
      <c r="X103" s="97"/>
      <c r="Y103" s="97"/>
    </row>
    <row r="104" spans="1:25" x14ac:dyDescent="0.2">
      <c r="A104" s="166" t="s">
        <v>157</v>
      </c>
      <c r="B104" s="69" t="s">
        <v>158</v>
      </c>
      <c r="C104" s="167"/>
      <c r="D104" s="167"/>
      <c r="E104" s="167"/>
      <c r="F104" s="167"/>
      <c r="G104" s="167" t="e">
        <f>#REF!</f>
        <v>#REF!</v>
      </c>
      <c r="H104" s="169"/>
      <c r="K104" s="64">
        <v>220.4247</v>
      </c>
      <c r="M104" s="80"/>
      <c r="O104" s="80"/>
      <c r="P104" s="80"/>
      <c r="R104" s="80"/>
      <c r="S104" s="80"/>
      <c r="T104" s="80"/>
      <c r="U104" s="80"/>
      <c r="W104" s="104">
        <f>W94*K104</f>
        <v>30859.457999999999</v>
      </c>
      <c r="X104" s="97">
        <f>X94*K104</f>
        <v>47832.159899999999</v>
      </c>
      <c r="Y104" s="97">
        <f>Y94*K104</f>
        <v>171269.99189999999</v>
      </c>
    </row>
    <row r="105" spans="1:25" x14ac:dyDescent="0.2">
      <c r="A105" s="166" t="s">
        <v>159</v>
      </c>
      <c r="B105" s="69" t="s">
        <v>135</v>
      </c>
      <c r="C105" s="167" t="e">
        <f>#REF!</f>
        <v>#REF!</v>
      </c>
      <c r="D105" s="167"/>
      <c r="E105" s="167" t="e">
        <f>#REF!</f>
        <v>#REF!</v>
      </c>
      <c r="F105" s="167"/>
      <c r="G105" s="167"/>
      <c r="H105" s="169"/>
      <c r="I105" s="30">
        <v>0.89970000000000006</v>
      </c>
      <c r="J105" s="64">
        <v>0.82</v>
      </c>
      <c r="L105" s="80">
        <f>L96*I105</f>
        <v>3.5988000000000002</v>
      </c>
      <c r="M105" s="80">
        <f>M96*I105</f>
        <v>16.194600000000001</v>
      </c>
      <c r="O105" s="80">
        <f>O96*I105</f>
        <v>3.5988000000000002</v>
      </c>
      <c r="P105" s="80">
        <f>P96*I105</f>
        <v>90.869700000000009</v>
      </c>
      <c r="R105" s="80">
        <f>R96*J105</f>
        <v>82.82</v>
      </c>
      <c r="S105" s="80">
        <f>S96*J105</f>
        <v>4048.3399999999997</v>
      </c>
      <c r="T105" s="80">
        <f>T96*J105</f>
        <v>546.93999999999994</v>
      </c>
      <c r="U105" s="80">
        <f>U96*J105</f>
        <v>823.28</v>
      </c>
      <c r="W105" s="97">
        <f>W96*K105</f>
        <v>0</v>
      </c>
      <c r="X105" s="97">
        <f>X96*K105</f>
        <v>0</v>
      </c>
      <c r="Y105" s="97">
        <f>Y96*K105</f>
        <v>0</v>
      </c>
    </row>
    <row r="106" spans="1:25" x14ac:dyDescent="0.2">
      <c r="A106" s="163" t="s">
        <v>160</v>
      </c>
      <c r="B106" s="69" t="s">
        <v>135</v>
      </c>
      <c r="C106" s="167" t="e">
        <f>#REF!</f>
        <v>#REF!</v>
      </c>
      <c r="D106" s="167"/>
      <c r="E106" s="167" t="e">
        <f>#REF!</f>
        <v>#REF!</v>
      </c>
      <c r="F106" s="167"/>
      <c r="G106" s="167">
        <v>0</v>
      </c>
      <c r="H106" s="169"/>
      <c r="I106" s="30">
        <v>0.86819999999999997</v>
      </c>
      <c r="J106" s="30">
        <v>0.8579</v>
      </c>
      <c r="K106" s="30">
        <v>0</v>
      </c>
      <c r="L106" s="80">
        <f>L96*I106</f>
        <v>3.4727999999999999</v>
      </c>
      <c r="M106" s="80">
        <f>M96*I106</f>
        <v>15.627599999999999</v>
      </c>
      <c r="O106" s="80">
        <f>O96*I106</f>
        <v>3.4727999999999999</v>
      </c>
      <c r="P106" s="80">
        <f>P96*I106</f>
        <v>87.688199999999995</v>
      </c>
      <c r="R106" s="80">
        <f>R96*J106</f>
        <v>86.647899999999993</v>
      </c>
      <c r="S106" s="80">
        <f>S96*J106</f>
        <v>4235.4522999999999</v>
      </c>
      <c r="T106" s="80">
        <f>T96*J106</f>
        <v>572.21929999999998</v>
      </c>
      <c r="U106" s="80">
        <f>U96*J106</f>
        <v>861.33159999999998</v>
      </c>
      <c r="W106" s="97">
        <f>W96*K106</f>
        <v>0</v>
      </c>
      <c r="X106" s="97">
        <f>X96*K106</f>
        <v>0</v>
      </c>
      <c r="Y106" s="97">
        <f>Y96*K106</f>
        <v>0</v>
      </c>
    </row>
    <row r="107" spans="1:25" x14ac:dyDescent="0.2">
      <c r="A107" s="166"/>
      <c r="B107" s="69"/>
      <c r="C107" s="167"/>
      <c r="D107" s="167"/>
      <c r="E107" s="167"/>
      <c r="F107" s="167"/>
      <c r="G107" s="167"/>
      <c r="H107" s="169"/>
      <c r="M107" s="80"/>
      <c r="O107" s="80"/>
      <c r="P107" s="80"/>
      <c r="R107" s="80"/>
      <c r="S107" s="80"/>
      <c r="T107" s="80"/>
      <c r="U107" s="80"/>
      <c r="W107" s="97"/>
      <c r="X107" s="97"/>
      <c r="Y107" s="97"/>
    </row>
    <row r="108" spans="1:25" x14ac:dyDescent="0.2">
      <c r="A108" s="163" t="s">
        <v>161</v>
      </c>
      <c r="B108" s="69"/>
      <c r="C108" s="167"/>
      <c r="D108" s="167"/>
      <c r="E108" s="167"/>
      <c r="F108" s="167"/>
      <c r="G108" s="167"/>
      <c r="H108" s="169"/>
      <c r="M108" s="80"/>
      <c r="O108" s="80"/>
      <c r="P108" s="80"/>
      <c r="R108" s="80"/>
      <c r="S108" s="80"/>
      <c r="T108" s="80"/>
      <c r="U108" s="80"/>
      <c r="W108" s="97"/>
      <c r="X108" s="97"/>
      <c r="Y108" s="97"/>
    </row>
    <row r="109" spans="1:25" x14ac:dyDescent="0.2">
      <c r="A109" s="166" t="s">
        <v>162</v>
      </c>
      <c r="B109" s="69" t="s">
        <v>158</v>
      </c>
      <c r="C109" s="167"/>
      <c r="D109" s="167"/>
      <c r="E109" s="167"/>
      <c r="F109" s="167"/>
      <c r="G109" s="167">
        <v>267.89999999999998</v>
      </c>
      <c r="H109" s="169"/>
      <c r="K109" s="30">
        <v>267.89999999999998</v>
      </c>
      <c r="M109" s="80"/>
      <c r="O109" s="80"/>
      <c r="P109" s="80"/>
      <c r="R109" s="80"/>
      <c r="S109" s="80"/>
      <c r="T109" s="80"/>
      <c r="U109" s="80"/>
      <c r="W109" s="104">
        <f>W94*K109</f>
        <v>37506</v>
      </c>
      <c r="X109" s="104">
        <f>X94*K109</f>
        <v>58134.299999999996</v>
      </c>
      <c r="Y109" s="104">
        <f>Y94*K109</f>
        <v>208158.3</v>
      </c>
    </row>
    <row r="110" spans="1:25" x14ac:dyDescent="0.2">
      <c r="A110" s="166" t="s">
        <v>163</v>
      </c>
      <c r="B110" s="69" t="s">
        <v>135</v>
      </c>
      <c r="C110" s="167">
        <v>0.84489999999999998</v>
      </c>
      <c r="D110" s="172"/>
      <c r="E110" s="172">
        <v>0.92589999999999995</v>
      </c>
      <c r="F110" s="167"/>
      <c r="G110" s="167"/>
      <c r="H110" s="169"/>
      <c r="I110" s="30">
        <v>0.84489999999999998</v>
      </c>
      <c r="J110" s="30">
        <v>0.92589999999999995</v>
      </c>
      <c r="L110" s="80">
        <f>L96*I110</f>
        <v>3.3795999999999999</v>
      </c>
      <c r="M110" s="80">
        <f>M96*I110</f>
        <v>15.2082</v>
      </c>
      <c r="O110" s="102">
        <f>O96*I110</f>
        <v>3.3795999999999999</v>
      </c>
      <c r="P110" s="102">
        <f>P96*I110</f>
        <v>85.334900000000005</v>
      </c>
      <c r="R110" s="102">
        <f>R96*J110</f>
        <v>93.515899999999988</v>
      </c>
      <c r="S110" s="102">
        <f>S96*J110</f>
        <v>4571.1682999999994</v>
      </c>
      <c r="T110" s="102">
        <f>T96*J110</f>
        <v>617.57529999999997</v>
      </c>
      <c r="U110" s="102">
        <f>U96*J110</f>
        <v>929.60359999999991</v>
      </c>
      <c r="W110" s="103">
        <f>W96*K110</f>
        <v>0</v>
      </c>
      <c r="X110" s="103">
        <f>X96*K110</f>
        <v>0</v>
      </c>
      <c r="Y110" s="103">
        <f>Y96*K110</f>
        <v>0</v>
      </c>
    </row>
    <row r="111" spans="1:25" x14ac:dyDescent="0.2">
      <c r="A111" s="163" t="s">
        <v>164</v>
      </c>
      <c r="B111" s="69"/>
      <c r="C111" s="167"/>
      <c r="D111" s="172"/>
      <c r="E111" s="167"/>
      <c r="F111" s="167"/>
      <c r="G111" s="167"/>
      <c r="H111" s="169"/>
      <c r="M111" s="80"/>
      <c r="O111" s="102"/>
      <c r="P111" s="102"/>
      <c r="R111" s="102"/>
      <c r="S111" s="102"/>
      <c r="T111" s="102"/>
      <c r="U111" s="102"/>
      <c r="W111" s="103"/>
      <c r="X111" s="103"/>
      <c r="Y111" s="103"/>
    </row>
    <row r="112" spans="1:25" x14ac:dyDescent="0.2">
      <c r="A112" s="166" t="s">
        <v>165</v>
      </c>
      <c r="B112" s="69" t="s">
        <v>166</v>
      </c>
      <c r="C112" s="167"/>
      <c r="D112" s="172"/>
      <c r="E112" s="172">
        <v>40.15</v>
      </c>
      <c r="F112" s="167"/>
      <c r="G112" s="172">
        <v>40.15</v>
      </c>
      <c r="H112" s="169"/>
      <c r="J112" s="30">
        <v>40.15</v>
      </c>
      <c r="K112" s="30">
        <v>40.15</v>
      </c>
      <c r="M112" s="80"/>
      <c r="O112" s="102"/>
      <c r="P112" s="102"/>
      <c r="R112" s="103">
        <f>G112</f>
        <v>40.15</v>
      </c>
      <c r="S112" s="103">
        <f>G112</f>
        <v>40.15</v>
      </c>
      <c r="T112" s="103">
        <f>S112</f>
        <v>40.15</v>
      </c>
      <c r="U112" s="103">
        <f>S112</f>
        <v>40.15</v>
      </c>
      <c r="W112" s="103">
        <f>G112</f>
        <v>40.15</v>
      </c>
      <c r="X112" s="103">
        <f>W112</f>
        <v>40.15</v>
      </c>
      <c r="Y112" s="103">
        <f>W112</f>
        <v>40.15</v>
      </c>
    </row>
    <row r="113" spans="1:25" x14ac:dyDescent="0.2">
      <c r="A113" s="166" t="s">
        <v>167</v>
      </c>
      <c r="B113" s="69" t="s">
        <v>135</v>
      </c>
      <c r="C113" s="167">
        <v>0.7732</v>
      </c>
      <c r="D113" s="172"/>
      <c r="E113" s="167"/>
      <c r="F113" s="167"/>
      <c r="G113" s="167"/>
      <c r="H113" s="169"/>
      <c r="I113" s="30">
        <v>0.7732</v>
      </c>
      <c r="L113" s="80">
        <f>L96*I113</f>
        <v>3.0928</v>
      </c>
      <c r="M113" s="80">
        <f>M96*I113</f>
        <v>13.9176</v>
      </c>
      <c r="O113" s="102">
        <f>O96*I113</f>
        <v>3.0928</v>
      </c>
      <c r="P113" s="102">
        <f>P96*I113</f>
        <v>78.093199999999996</v>
      </c>
      <c r="R113" s="102">
        <f>R96*J113</f>
        <v>0</v>
      </c>
      <c r="S113" s="102">
        <f>S96*K113</f>
        <v>0</v>
      </c>
      <c r="T113" s="102">
        <f>T96*J113</f>
        <v>0</v>
      </c>
      <c r="U113" s="102">
        <f>U96*J113</f>
        <v>0</v>
      </c>
      <c r="W113" s="103">
        <f>W96*K113</f>
        <v>0</v>
      </c>
      <c r="X113" s="103">
        <f>X96*K113</f>
        <v>0</v>
      </c>
      <c r="Y113" s="103">
        <f>Y96*K113</f>
        <v>0</v>
      </c>
    </row>
    <row r="114" spans="1:25" x14ac:dyDescent="0.2">
      <c r="A114" s="163" t="s">
        <v>168</v>
      </c>
      <c r="B114" s="69"/>
      <c r="C114" s="69"/>
      <c r="D114" s="172"/>
      <c r="E114" s="69"/>
      <c r="F114" s="69"/>
      <c r="G114" s="69"/>
      <c r="H114" s="169"/>
      <c r="M114" s="80"/>
      <c r="O114" s="102"/>
      <c r="P114" s="102"/>
      <c r="R114" s="102"/>
      <c r="S114" s="102"/>
      <c r="T114" s="102"/>
      <c r="U114" s="102"/>
      <c r="W114" s="103"/>
      <c r="X114" s="103"/>
      <c r="Y114" s="103"/>
    </row>
    <row r="115" spans="1:25" x14ac:dyDescent="0.2">
      <c r="A115" s="166" t="s">
        <v>169</v>
      </c>
      <c r="B115" s="69" t="s">
        <v>170</v>
      </c>
      <c r="C115" s="167">
        <v>5</v>
      </c>
      <c r="D115" s="172"/>
      <c r="E115" s="172">
        <v>28.72</v>
      </c>
      <c r="F115" s="69"/>
      <c r="G115" s="172">
        <v>28.72</v>
      </c>
      <c r="H115" s="169"/>
      <c r="I115" s="30">
        <v>5</v>
      </c>
      <c r="J115" s="30">
        <v>28.72</v>
      </c>
      <c r="K115" s="30">
        <v>28.72</v>
      </c>
      <c r="L115" s="80">
        <v>5</v>
      </c>
      <c r="M115" s="80">
        <v>5</v>
      </c>
      <c r="O115" s="102">
        <v>5</v>
      </c>
      <c r="P115" s="102">
        <v>5</v>
      </c>
      <c r="R115" s="103">
        <f>G115</f>
        <v>28.72</v>
      </c>
      <c r="S115" s="103">
        <f>G115</f>
        <v>28.72</v>
      </c>
      <c r="T115" s="103">
        <f>S115</f>
        <v>28.72</v>
      </c>
      <c r="U115" s="103">
        <f>S115</f>
        <v>28.72</v>
      </c>
      <c r="W115" s="103">
        <f>G115</f>
        <v>28.72</v>
      </c>
      <c r="X115" s="103">
        <f>W115</f>
        <v>28.72</v>
      </c>
      <c r="Y115" s="103">
        <f>W115</f>
        <v>28.72</v>
      </c>
    </row>
    <row r="116" spans="1:25" x14ac:dyDescent="0.2">
      <c r="A116" s="166" t="s">
        <v>171</v>
      </c>
      <c r="B116" s="69" t="s">
        <v>135</v>
      </c>
      <c r="C116" s="167">
        <v>0.45689999999999997</v>
      </c>
      <c r="D116" s="167"/>
      <c r="E116" s="167"/>
      <c r="F116" s="167"/>
      <c r="G116" s="167"/>
      <c r="H116" s="169"/>
      <c r="I116" s="30">
        <v>0.45689999999999997</v>
      </c>
      <c r="L116" s="80">
        <f>L96*I116</f>
        <v>1.8275999999999999</v>
      </c>
      <c r="M116" s="80">
        <f>M96*I116</f>
        <v>8.2241999999999997</v>
      </c>
      <c r="O116" s="102">
        <f>O96*I116</f>
        <v>1.8275999999999999</v>
      </c>
      <c r="P116" s="102">
        <f>P96*I116</f>
        <v>46.146899999999995</v>
      </c>
      <c r="R116" s="102"/>
      <c r="S116" s="102"/>
      <c r="T116" s="102"/>
      <c r="U116" s="102"/>
      <c r="W116" s="103"/>
      <c r="X116" s="103"/>
      <c r="Y116" s="103"/>
    </row>
    <row r="117" spans="1:25" x14ac:dyDescent="0.2">
      <c r="A117" s="163" t="s">
        <v>172</v>
      </c>
      <c r="B117" s="69" t="s">
        <v>135</v>
      </c>
      <c r="C117" s="167" t="e">
        <f>#REF!</f>
        <v>#REF!</v>
      </c>
      <c r="D117" s="172"/>
      <c r="E117" s="172" t="e">
        <f>C117</f>
        <v>#REF!</v>
      </c>
      <c r="F117" s="172"/>
      <c r="G117" s="172" t="e">
        <f>C117</f>
        <v>#REF!</v>
      </c>
      <c r="H117" s="169"/>
      <c r="I117" s="64">
        <v>0.115</v>
      </c>
      <c r="J117" s="64">
        <v>0.115</v>
      </c>
      <c r="K117" s="64">
        <v>0.115</v>
      </c>
      <c r="L117" s="80">
        <f>-(L97+L98+L105+L106+L110+L113+L115+L116)*5%</f>
        <v>-2.1847399999999997</v>
      </c>
      <c r="M117" s="80">
        <f>-(M97+M98+M105+M106+M110+M113+M115+M116)*10%</f>
        <v>-17.912659999999999</v>
      </c>
      <c r="O117" s="102">
        <f>O96*I117</f>
        <v>0.46</v>
      </c>
      <c r="P117" s="102">
        <f>P96*I117</f>
        <v>11.615</v>
      </c>
      <c r="R117" s="102">
        <f>R96*J117</f>
        <v>11.615</v>
      </c>
      <c r="S117" s="102">
        <f>S96*J117</f>
        <v>567.755</v>
      </c>
      <c r="T117" s="102">
        <f>T96*J117</f>
        <v>76.704999999999998</v>
      </c>
      <c r="U117" s="102">
        <f>U96*J117</f>
        <v>115.46000000000001</v>
      </c>
      <c r="W117" s="103">
        <f>W96*K117</f>
        <v>1690.5</v>
      </c>
      <c r="X117" s="103">
        <f>X96*K117</f>
        <v>2012.5</v>
      </c>
      <c r="Y117" s="103">
        <f>Y96*K117</f>
        <v>25599</v>
      </c>
    </row>
    <row r="118" spans="1:25" x14ac:dyDescent="0.2">
      <c r="A118" s="163" t="s">
        <v>173</v>
      </c>
      <c r="B118" s="69"/>
      <c r="C118" s="167" t="e">
        <f>#REF!</f>
        <v>#REF!</v>
      </c>
      <c r="D118" s="172"/>
      <c r="E118" s="172" t="e">
        <f>C118</f>
        <v>#REF!</v>
      </c>
      <c r="F118" s="172"/>
      <c r="G118" s="172" t="e">
        <f>C118</f>
        <v>#REF!</v>
      </c>
      <c r="H118" s="169"/>
      <c r="I118" s="30">
        <v>1.6000000000000001E-3</v>
      </c>
      <c r="J118" s="30">
        <v>1.6000000000000001E-3</v>
      </c>
      <c r="K118" s="30">
        <v>1.6000000000000001E-3</v>
      </c>
      <c r="L118" s="106">
        <f>L96*I118</f>
        <v>6.4000000000000003E-3</v>
      </c>
      <c r="M118" s="80"/>
      <c r="O118" s="80">
        <f>-(O97+O98+O105+O106+O110+O113+O115+O116+O117)*5%</f>
        <v>-2.2077399999999998</v>
      </c>
      <c r="P118" s="107">
        <f>P96*I118</f>
        <v>0.16160000000000002</v>
      </c>
      <c r="R118" s="107">
        <f>R96*K118</f>
        <v>0.16160000000000002</v>
      </c>
      <c r="S118" s="107">
        <f>S96*J118</f>
        <v>7.8992000000000004</v>
      </c>
      <c r="T118" s="107">
        <f>T96*J118</f>
        <v>1.0672000000000001</v>
      </c>
      <c r="U118" s="107">
        <f>U96*J118</f>
        <v>1.6064000000000001</v>
      </c>
      <c r="W118" s="104">
        <f>W96*K118</f>
        <v>23.52</v>
      </c>
      <c r="X118" s="104">
        <f>X96*K118</f>
        <v>28</v>
      </c>
      <c r="Y118" s="104">
        <f>Y96*K118</f>
        <v>356.16</v>
      </c>
    </row>
    <row r="119" spans="1:25" x14ac:dyDescent="0.2">
      <c r="A119" s="163" t="s">
        <v>174</v>
      </c>
      <c r="B119" s="69"/>
      <c r="C119" s="167"/>
      <c r="D119" s="167"/>
      <c r="E119" s="167"/>
      <c r="F119" s="167"/>
      <c r="G119" s="167"/>
      <c r="H119" s="169"/>
      <c r="M119" s="80"/>
      <c r="O119" s="80"/>
      <c r="P119" s="80"/>
      <c r="R119" s="80"/>
      <c r="S119" s="80"/>
      <c r="T119" s="80"/>
      <c r="U119" s="80"/>
      <c r="W119" s="97"/>
      <c r="X119" s="97"/>
      <c r="Y119" s="97"/>
    </row>
    <row r="120" spans="1:25" x14ac:dyDescent="0.2">
      <c r="A120" s="166" t="s">
        <v>175</v>
      </c>
      <c r="B120" s="69" t="s">
        <v>135</v>
      </c>
      <c r="C120" s="167">
        <v>0.1938</v>
      </c>
      <c r="D120" s="167"/>
      <c r="E120" s="167">
        <v>0.1938</v>
      </c>
      <c r="F120" s="167"/>
      <c r="G120" s="167">
        <v>0.1938</v>
      </c>
      <c r="H120" s="67" t="s">
        <v>198</v>
      </c>
      <c r="I120" s="30">
        <v>0.1938</v>
      </c>
      <c r="J120" s="30">
        <v>0.1938</v>
      </c>
      <c r="K120" s="30">
        <v>0.1938</v>
      </c>
      <c r="L120" s="80">
        <f>L96*I120</f>
        <v>0.7752</v>
      </c>
      <c r="M120" s="80">
        <f>M96*I120</f>
        <v>3.4883999999999999</v>
      </c>
      <c r="O120" s="80">
        <f>O96*I120</f>
        <v>0.7752</v>
      </c>
      <c r="P120" s="80">
        <f>P96*I120</f>
        <v>19.573799999999999</v>
      </c>
      <c r="R120" s="80">
        <f>R96*J120</f>
        <v>19.573799999999999</v>
      </c>
      <c r="S120" s="80">
        <f>S96*J120</f>
        <v>956.79060000000004</v>
      </c>
      <c r="T120" s="80">
        <f>T96*J120</f>
        <v>129.2646</v>
      </c>
      <c r="U120" s="80">
        <f>U96*J120</f>
        <v>194.5752</v>
      </c>
      <c r="W120" s="97">
        <f>W96*K120</f>
        <v>2848.86</v>
      </c>
      <c r="X120" s="97">
        <f>X96*K120</f>
        <v>3391.5</v>
      </c>
      <c r="Y120" s="97">
        <f>Y96*K120</f>
        <v>43139.88</v>
      </c>
    </row>
    <row r="121" spans="1:25" x14ac:dyDescent="0.2">
      <c r="A121" s="166" t="s">
        <v>176</v>
      </c>
      <c r="B121" s="69" t="s">
        <v>135</v>
      </c>
      <c r="C121" s="167">
        <v>2.5000000000000001E-3</v>
      </c>
      <c r="D121" s="167"/>
      <c r="E121" s="167">
        <v>2.5000000000000001E-3</v>
      </c>
      <c r="F121" s="167"/>
      <c r="G121" s="172">
        <f>C121</f>
        <v>2.5000000000000001E-3</v>
      </c>
      <c r="H121" s="169"/>
      <c r="I121" s="30">
        <v>2.5000000000000001E-3</v>
      </c>
      <c r="J121" s="30">
        <v>2.5000000000000001E-3</v>
      </c>
      <c r="K121" s="30">
        <v>2.5000000000000001E-3</v>
      </c>
      <c r="L121" s="80">
        <f>L96*I121</f>
        <v>0.01</v>
      </c>
      <c r="M121" s="80">
        <f>M96*I121</f>
        <v>4.4999999999999998E-2</v>
      </c>
      <c r="O121" s="80">
        <f>O96*I121</f>
        <v>0.01</v>
      </c>
      <c r="P121" s="80">
        <f>P96*I121</f>
        <v>0.2525</v>
      </c>
      <c r="R121" s="80">
        <f>R96*J121</f>
        <v>0.2525</v>
      </c>
      <c r="S121" s="80">
        <f>S96*J121</f>
        <v>12.342500000000001</v>
      </c>
      <c r="T121" s="80">
        <f>T96*J121</f>
        <v>1.6675</v>
      </c>
      <c r="U121" s="80">
        <f>U96*J121</f>
        <v>2.5100000000000002</v>
      </c>
      <c r="W121" s="97">
        <f>W96*K121</f>
        <v>36.75</v>
      </c>
      <c r="X121" s="97">
        <f>X96*K121</f>
        <v>43.75</v>
      </c>
      <c r="Y121" s="97">
        <f>Y96*K121</f>
        <v>556.5</v>
      </c>
    </row>
    <row r="122" spans="1:25" x14ac:dyDescent="0.2">
      <c r="A122" s="166"/>
      <c r="B122" s="69"/>
      <c r="C122" s="167"/>
      <c r="D122" s="167"/>
      <c r="E122" s="167"/>
      <c r="F122" s="167"/>
      <c r="G122" s="172"/>
      <c r="H122" s="169"/>
      <c r="I122" s="30">
        <v>0</v>
      </c>
      <c r="M122" s="80"/>
      <c r="O122" s="80"/>
      <c r="P122" s="80">
        <f>P96*I122</f>
        <v>0</v>
      </c>
      <c r="R122" s="80"/>
      <c r="S122" s="80"/>
      <c r="T122" s="80"/>
      <c r="U122" s="80"/>
      <c r="W122" s="97"/>
      <c r="X122" s="97"/>
      <c r="Y122" s="97"/>
    </row>
    <row r="123" spans="1:25" x14ac:dyDescent="0.2">
      <c r="A123" s="173" t="s">
        <v>177</v>
      </c>
      <c r="B123" s="174" t="s">
        <v>135</v>
      </c>
      <c r="C123" s="175">
        <v>0.40039999999999998</v>
      </c>
      <c r="D123" s="175"/>
      <c r="E123" s="175">
        <v>0.40039999999999998</v>
      </c>
      <c r="F123" s="175"/>
      <c r="G123" s="172">
        <f>C123</f>
        <v>0.40039999999999998</v>
      </c>
      <c r="H123" s="169"/>
      <c r="I123" s="30">
        <v>0.40039999999999998</v>
      </c>
      <c r="J123" s="30">
        <v>0.40039999999999998</v>
      </c>
      <c r="K123" s="30">
        <v>0.40039999999999998</v>
      </c>
      <c r="L123" s="80">
        <f>L96*I123</f>
        <v>1.6015999999999999</v>
      </c>
      <c r="M123" s="80">
        <f>M96*I123</f>
        <v>7.2071999999999994</v>
      </c>
      <c r="O123" s="80">
        <f>O96*I123</f>
        <v>1.6015999999999999</v>
      </c>
      <c r="P123" s="80">
        <f>P96*I123</f>
        <v>40.440399999999997</v>
      </c>
      <c r="R123" s="80">
        <f>R96*J123</f>
        <v>40.440399999999997</v>
      </c>
      <c r="S123" s="80">
        <f>S96*J123</f>
        <v>1976.7747999999999</v>
      </c>
      <c r="T123" s="80">
        <f>T96*J123</f>
        <v>267.0668</v>
      </c>
      <c r="U123" s="80">
        <f>U96*J123</f>
        <v>402.0016</v>
      </c>
      <c r="W123" s="97">
        <f>W96*K123</f>
        <v>5885.88</v>
      </c>
      <c r="X123" s="97">
        <f>X96*K123</f>
        <v>7007</v>
      </c>
      <c r="Y123" s="97">
        <f>Y96*K123</f>
        <v>89129.04</v>
      </c>
    </row>
    <row r="124" spans="1:25" ht="13.5" thickBot="1" x14ac:dyDescent="0.25">
      <c r="A124" s="176" t="s">
        <v>178</v>
      </c>
      <c r="B124" s="177"/>
      <c r="C124" s="178">
        <f>5.8308-0.1944+0.8997+0.8682+0.8449+0.7732+0.4569+0.115+0.0016+0.1938+0.0025+0.4004</f>
        <v>10.192599999999997</v>
      </c>
      <c r="D124" s="179"/>
      <c r="E124" s="178" t="e">
        <f>E101+E102+E105+E106+E110+E113+E116+E117+E118+E120+E121+E123</f>
        <v>#REF!</v>
      </c>
      <c r="F124" s="179"/>
      <c r="G124" s="178" t="e">
        <f>G101+G102+G105+G106+G110+G113+G116+G117+G118+G120+G121+G123</f>
        <v>#REF!</v>
      </c>
      <c r="H124" s="178"/>
      <c r="I124" s="178">
        <v>10.192600000000001</v>
      </c>
      <c r="J124" s="178">
        <v>9.1478000000000002</v>
      </c>
      <c r="K124" s="178">
        <v>6.5439999999999996</v>
      </c>
      <c r="L124" s="115">
        <f>SUM(L97:L123)</f>
        <v>43.125659999999982</v>
      </c>
      <c r="M124" s="116">
        <f>SUM(M97:M123)</f>
        <v>168.45534000000001</v>
      </c>
      <c r="O124" s="117">
        <f>SUM(O97:O123)</f>
        <v>43.55625999999998</v>
      </c>
      <c r="P124" s="117">
        <f>SUM(P97:P123)</f>
        <v>1034.4525999999998</v>
      </c>
      <c r="R124" s="117">
        <f>SUM(R97:R123)</f>
        <v>992.80789999999979</v>
      </c>
      <c r="S124" s="117">
        <f>SUM(S97:S123)</f>
        <v>45232.052299999988</v>
      </c>
      <c r="T124" s="117">
        <f>SUM(T97:T123)</f>
        <v>6170.519299999999</v>
      </c>
      <c r="U124" s="117">
        <f>SUM(U97:U123)</f>
        <v>9253.3615999999984</v>
      </c>
      <c r="W124" s="118">
        <f>SUM(W97:W123)</f>
        <v>164632.59799999997</v>
      </c>
      <c r="X124" s="118">
        <f>SUM(X97:X123)</f>
        <v>220557.07989999995</v>
      </c>
      <c r="Y124" s="118">
        <f>SUM(Y97:Y123)</f>
        <v>1836213.8218999996</v>
      </c>
    </row>
    <row r="125" spans="1:25" ht="14.25" thickTop="1" thickBot="1" x14ac:dyDescent="0.25">
      <c r="A125" s="176" t="s">
        <v>179</v>
      </c>
      <c r="B125" s="177" t="s">
        <v>166</v>
      </c>
      <c r="C125" s="180">
        <f>C115</f>
        <v>5</v>
      </c>
      <c r="D125" s="180"/>
      <c r="E125" s="180">
        <f>E112+E115</f>
        <v>68.87</v>
      </c>
      <c r="F125" s="180"/>
      <c r="G125" s="180">
        <f>G112+G115</f>
        <v>68.87</v>
      </c>
      <c r="H125" s="178"/>
      <c r="I125" s="120">
        <f>I97+I98+I99+I100+I105+I106+I110+I113+I116+I117</f>
        <v>9.7886999999999986</v>
      </c>
      <c r="J125" s="64" t="e">
        <f>E124-J124</f>
        <v>#REF!</v>
      </c>
      <c r="K125" s="64" t="e">
        <f>G124-K124</f>
        <v>#REF!</v>
      </c>
      <c r="M125" s="30" t="s">
        <v>180</v>
      </c>
      <c r="O125" s="121">
        <f>O96*I127</f>
        <v>0.58079999999999998</v>
      </c>
      <c r="P125" s="121">
        <f>P96*I127</f>
        <v>14.665199999999999</v>
      </c>
      <c r="R125" s="121">
        <f>R96*J127</f>
        <v>23.240099999999998</v>
      </c>
      <c r="S125" s="121">
        <f>S96*K127</f>
        <v>1136.0037</v>
      </c>
      <c r="T125" s="121">
        <f>T96*J127</f>
        <v>153.47669999999999</v>
      </c>
      <c r="U125" s="121">
        <f>U96*J127</f>
        <v>231.0204</v>
      </c>
      <c r="W125" s="122">
        <f>W96*K127</f>
        <v>3382.47</v>
      </c>
      <c r="X125" s="122">
        <f>X96*K127</f>
        <v>4026.75</v>
      </c>
      <c r="Y125" s="122">
        <f>Y96*K127</f>
        <v>51220.26</v>
      </c>
    </row>
    <row r="126" spans="1:25" ht="14.25" thickTop="1" thickBot="1" x14ac:dyDescent="0.25">
      <c r="A126" s="176" t="s">
        <v>181</v>
      </c>
      <c r="B126" s="181" t="s">
        <v>158</v>
      </c>
      <c r="C126" s="178"/>
      <c r="D126" s="178"/>
      <c r="E126" s="178"/>
      <c r="F126" s="178"/>
      <c r="G126" s="178" t="e">
        <f>G104+G109</f>
        <v>#REF!</v>
      </c>
      <c r="H126" s="178"/>
      <c r="I126" s="30" t="s">
        <v>182</v>
      </c>
      <c r="J126" s="30" t="s">
        <v>182</v>
      </c>
      <c r="K126" s="30" t="s">
        <v>182</v>
      </c>
      <c r="M126" s="30" t="s">
        <v>183</v>
      </c>
      <c r="O126" s="121">
        <f>O96*I128</f>
        <v>1.0800000000000001E-2</v>
      </c>
      <c r="P126" s="121">
        <f>P96*I128</f>
        <v>0.2727</v>
      </c>
      <c r="R126" s="121">
        <f>R96*J128</f>
        <v>0.22220000000000001</v>
      </c>
      <c r="S126" s="121">
        <f>S96*K128</f>
        <v>10.861400000000001</v>
      </c>
      <c r="T126" s="121">
        <f>T96*J128</f>
        <v>1.4674</v>
      </c>
      <c r="U126" s="121">
        <f>U96*J128</f>
        <v>2.2088000000000001</v>
      </c>
      <c r="W126" s="122">
        <f>W96*K128</f>
        <v>32.340000000000003</v>
      </c>
      <c r="X126" s="122">
        <f>X96*K128</f>
        <v>38.5</v>
      </c>
      <c r="Y126" s="122">
        <f>Y96*K128</f>
        <v>489.72</v>
      </c>
    </row>
    <row r="127" spans="1:25" ht="13.5" thickTop="1" x14ac:dyDescent="0.2">
      <c r="A127" s="69"/>
      <c r="B127" s="69"/>
      <c r="C127" s="69"/>
      <c r="D127" s="980" t="s">
        <v>184</v>
      </c>
      <c r="E127" s="980"/>
      <c r="F127" s="981"/>
      <c r="G127" s="982" t="s">
        <v>185</v>
      </c>
      <c r="H127" s="980"/>
      <c r="I127" s="30">
        <v>0.1452</v>
      </c>
      <c r="J127" s="30">
        <v>0.2301</v>
      </c>
      <c r="K127" s="30">
        <v>0.2301</v>
      </c>
      <c r="M127" s="30" t="s">
        <v>186</v>
      </c>
      <c r="O127" s="121">
        <f>O96*I129</f>
        <v>7.6799999999999993E-2</v>
      </c>
      <c r="P127" s="121">
        <f>P96*I129</f>
        <v>1.9391999999999998</v>
      </c>
      <c r="R127" s="121">
        <f>R96*J129</f>
        <v>3.03</v>
      </c>
      <c r="S127" s="121">
        <f>S96*J129</f>
        <v>148.10999999999999</v>
      </c>
      <c r="T127" s="121">
        <f>T96*J129</f>
        <v>20.009999999999998</v>
      </c>
      <c r="U127" s="121">
        <f>U96*J129</f>
        <v>30.119999999999997</v>
      </c>
      <c r="W127" s="122">
        <v>0</v>
      </c>
      <c r="X127" s="122">
        <v>0</v>
      </c>
      <c r="Y127" s="122">
        <v>0</v>
      </c>
    </row>
    <row r="128" spans="1:25" x14ac:dyDescent="0.2">
      <c r="A128" s="69"/>
      <c r="B128" s="69"/>
      <c r="C128" s="69"/>
      <c r="D128" s="182" t="s">
        <v>187</v>
      </c>
      <c r="E128" s="183" t="s">
        <v>188</v>
      </c>
      <c r="F128" s="184" t="s">
        <v>189</v>
      </c>
      <c r="G128" s="983" t="s">
        <v>190</v>
      </c>
      <c r="H128" s="984"/>
      <c r="I128" s="64">
        <v>2.7000000000000001E-3</v>
      </c>
      <c r="J128" s="64">
        <v>2.2000000000000001E-3</v>
      </c>
      <c r="K128" s="64">
        <v>2.2000000000000001E-3</v>
      </c>
      <c r="M128" s="30" t="s">
        <v>191</v>
      </c>
      <c r="O128" s="121">
        <f>(SUM(O102,O110:O117))*12%</f>
        <v>1.5578880000000002</v>
      </c>
      <c r="P128" s="121">
        <f>(SUM(P102,P110:P117))*12%</f>
        <v>24.786671999999999</v>
      </c>
      <c r="R128" s="121">
        <f>(SUM(R102,R110:R117))*12%</f>
        <v>20.880108</v>
      </c>
      <c r="S128" s="121">
        <f>(SUM(S102,S110:S117))*12%</f>
        <v>624.93519599999991</v>
      </c>
      <c r="T128" s="121">
        <f>(SUM(T102,T110:T117))*12%</f>
        <v>91.578035999999997</v>
      </c>
      <c r="U128" s="121">
        <f>(SUM(U102,U110:U117))*12%</f>
        <v>133.67203199999997</v>
      </c>
      <c r="W128" s="122">
        <f>(SUM(W102,W109:W117))*12%</f>
        <v>4711.8444</v>
      </c>
      <c r="X128" s="122">
        <f>(SUM(X102,X109:X117))*12%</f>
        <v>7225.8803999999991</v>
      </c>
      <c r="Y128" s="122">
        <f>(SUM(Y102,Y109:Y117))*12%</f>
        <v>28059.140399999997</v>
      </c>
    </row>
    <row r="129" spans="1:25" ht="13.5" thickBot="1" x14ac:dyDescent="0.25">
      <c r="A129" s="69"/>
      <c r="B129" s="69"/>
      <c r="C129" s="69"/>
      <c r="D129" s="185" t="e">
        <f>#REF!</f>
        <v>#REF!</v>
      </c>
      <c r="E129" s="185" t="e">
        <f>#REF!</f>
        <v>#REF!</v>
      </c>
      <c r="F129" s="185" t="e">
        <f>#REF!</f>
        <v>#REF!</v>
      </c>
      <c r="G129" s="186">
        <v>0.12</v>
      </c>
      <c r="H129" s="187"/>
      <c r="I129" s="64">
        <v>1.9199999999999998E-2</v>
      </c>
      <c r="J129" s="64">
        <v>0.03</v>
      </c>
      <c r="K129" s="64"/>
      <c r="O129" s="116">
        <f>SUM(O124:O128)</f>
        <v>45.782547999999977</v>
      </c>
      <c r="P129" s="116">
        <f>SUM(P124:P128)</f>
        <v>1076.1163719999997</v>
      </c>
      <c r="R129" s="116">
        <f>SUM(R124:R128)</f>
        <v>1040.1803079999997</v>
      </c>
      <c r="S129" s="116">
        <f>SUM(S124:S128)</f>
        <v>47151.96259599999</v>
      </c>
      <c r="T129" s="116">
        <f>SUM(T124:T128)</f>
        <v>6437.0514359999997</v>
      </c>
      <c r="U129" s="116">
        <f>SUM(U124:U128)</f>
        <v>9650.3828319999993</v>
      </c>
      <c r="W129" s="116">
        <f>SUM(W124:W128)</f>
        <v>172759.25239999997</v>
      </c>
      <c r="X129" s="116">
        <f>SUM(X124:X128)</f>
        <v>231848.21029999995</v>
      </c>
      <c r="Y129" s="116">
        <f>SUM(Y124:Y128)</f>
        <v>1915982.9422999995</v>
      </c>
    </row>
    <row r="130" spans="1:25" ht="13.5" thickTop="1" x14ac:dyDescent="0.2">
      <c r="A130" s="67" t="s">
        <v>192</v>
      </c>
      <c r="B130" s="67"/>
      <c r="C130" s="188" t="s">
        <v>193</v>
      </c>
      <c r="D130" s="69"/>
      <c r="E130" s="69"/>
      <c r="F130" s="69"/>
      <c r="G130" s="69"/>
      <c r="H130" s="69"/>
      <c r="P130" s="97">
        <v>-2793.75</v>
      </c>
    </row>
    <row r="131" spans="1:25" x14ac:dyDescent="0.2">
      <c r="A131" s="67"/>
      <c r="B131" s="69"/>
      <c r="C131" s="67"/>
      <c r="D131" s="69"/>
      <c r="E131" s="69"/>
      <c r="F131" s="69"/>
      <c r="G131" s="69"/>
      <c r="H131" s="69"/>
      <c r="P131" s="97">
        <f>SUM(P129:P130)</f>
        <v>-1717.6336280000003</v>
      </c>
    </row>
    <row r="132" spans="1:25" x14ac:dyDescent="0.2">
      <c r="A132" s="189" t="s">
        <v>194</v>
      </c>
      <c r="B132" s="160"/>
      <c r="C132" s="189" t="s">
        <v>195</v>
      </c>
      <c r="D132" s="69"/>
      <c r="E132" s="69"/>
      <c r="F132" s="69"/>
      <c r="G132" s="69"/>
      <c r="H132" s="69"/>
    </row>
    <row r="133" spans="1:25" x14ac:dyDescent="0.2">
      <c r="A133" s="67" t="s">
        <v>196</v>
      </c>
      <c r="B133" s="69"/>
      <c r="C133" s="67" t="s">
        <v>197</v>
      </c>
      <c r="D133" s="69"/>
      <c r="E133" s="69"/>
      <c r="F133" s="69"/>
      <c r="G133" s="69"/>
      <c r="H133" s="69"/>
    </row>
    <row r="134" spans="1:25" x14ac:dyDescent="0.2">
      <c r="A134" s="71" t="s">
        <v>64</v>
      </c>
      <c r="B134" s="71"/>
      <c r="C134" s="71"/>
      <c r="D134" s="71"/>
      <c r="E134" s="71"/>
      <c r="F134" s="71"/>
      <c r="G134" s="71"/>
      <c r="H134" s="71"/>
    </row>
    <row r="135" spans="1:25" x14ac:dyDescent="0.2">
      <c r="A135" s="71" t="s">
        <v>0</v>
      </c>
      <c r="B135" s="71"/>
      <c r="C135" s="71"/>
      <c r="D135" s="71"/>
      <c r="E135" s="71"/>
      <c r="F135" s="71"/>
      <c r="G135" s="71"/>
      <c r="H135" s="71"/>
    </row>
    <row r="136" spans="1:25" x14ac:dyDescent="0.2">
      <c r="A136" s="71"/>
      <c r="B136" s="71"/>
      <c r="C136" s="71"/>
      <c r="D136" s="71"/>
      <c r="E136" s="71"/>
      <c r="F136" s="71"/>
      <c r="G136" s="71"/>
      <c r="H136" s="71"/>
    </row>
    <row r="137" spans="1:25" x14ac:dyDescent="0.2">
      <c r="A137" s="190" t="s">
        <v>60</v>
      </c>
      <c r="B137" s="71"/>
      <c r="C137" s="71"/>
      <c r="D137" s="71"/>
      <c r="E137" s="71"/>
      <c r="F137" s="71"/>
      <c r="G137" s="71"/>
      <c r="H137" s="71"/>
      <c r="W137" s="34" t="s">
        <v>143</v>
      </c>
      <c r="X137" s="34" t="s">
        <v>144</v>
      </c>
      <c r="Y137" s="34" t="s">
        <v>1</v>
      </c>
    </row>
    <row r="138" spans="1:25" x14ac:dyDescent="0.2">
      <c r="A138" s="191" t="s">
        <v>56</v>
      </c>
      <c r="B138" s="71"/>
      <c r="C138" s="71"/>
      <c r="D138" s="71"/>
      <c r="E138" s="71"/>
      <c r="F138" s="71"/>
      <c r="G138" s="71"/>
      <c r="H138" s="71"/>
      <c r="W138" s="83" t="s">
        <v>145</v>
      </c>
      <c r="X138" s="83" t="s">
        <v>145</v>
      </c>
      <c r="Y138" s="83" t="s">
        <v>145</v>
      </c>
    </row>
    <row r="139" spans="1:25" x14ac:dyDescent="0.2">
      <c r="A139" s="191"/>
      <c r="B139" s="71"/>
      <c r="C139" s="71"/>
      <c r="D139" s="71"/>
      <c r="E139" s="71"/>
      <c r="F139" s="71"/>
      <c r="G139" s="71"/>
      <c r="H139" s="71"/>
      <c r="L139" s="192" t="s">
        <v>146</v>
      </c>
      <c r="M139" s="71" t="s">
        <v>6</v>
      </c>
      <c r="N139" s="71"/>
      <c r="O139" s="192" t="s">
        <v>146</v>
      </c>
      <c r="P139" s="71" t="s">
        <v>6</v>
      </c>
      <c r="R139" s="85" t="s">
        <v>147</v>
      </c>
      <c r="S139" s="85" t="s">
        <v>147</v>
      </c>
      <c r="T139" s="85" t="s">
        <v>147</v>
      </c>
      <c r="U139" s="85" t="s">
        <v>147</v>
      </c>
      <c r="W139" s="86">
        <f>0.2*700</f>
        <v>140</v>
      </c>
      <c r="X139" s="86">
        <f>0.31*700</f>
        <v>217</v>
      </c>
      <c r="Y139" s="86">
        <f>0.37*2100</f>
        <v>777</v>
      </c>
    </row>
    <row r="140" spans="1:25" x14ac:dyDescent="0.2">
      <c r="A140" s="985"/>
      <c r="B140" s="986"/>
      <c r="C140" s="193" t="s">
        <v>6</v>
      </c>
      <c r="D140" s="987" t="s">
        <v>47</v>
      </c>
      <c r="E140" s="988"/>
      <c r="F140" s="989"/>
      <c r="G140" s="987" t="s">
        <v>13</v>
      </c>
      <c r="H140" s="989"/>
      <c r="I140" s="193" t="s">
        <v>6</v>
      </c>
      <c r="J140" s="193" t="s">
        <v>47</v>
      </c>
      <c r="K140" s="193" t="s">
        <v>13</v>
      </c>
      <c r="L140" s="80" t="s">
        <v>130</v>
      </c>
      <c r="M140" s="88" t="s">
        <v>148</v>
      </c>
      <c r="O140" s="80" t="s">
        <v>130</v>
      </c>
      <c r="P140" s="80" t="s">
        <v>130</v>
      </c>
      <c r="R140" s="80" t="s">
        <v>130</v>
      </c>
      <c r="S140" s="80" t="s">
        <v>130</v>
      </c>
      <c r="T140" s="80" t="s">
        <v>130</v>
      </c>
      <c r="U140" s="80" t="s">
        <v>130</v>
      </c>
      <c r="W140" s="89" t="s">
        <v>130</v>
      </c>
      <c r="X140" s="89" t="s">
        <v>130</v>
      </c>
      <c r="Y140" s="89" t="s">
        <v>130</v>
      </c>
    </row>
    <row r="141" spans="1:25" x14ac:dyDescent="0.2">
      <c r="A141" s="194" t="s">
        <v>149</v>
      </c>
      <c r="B141" s="71"/>
      <c r="C141" s="195"/>
      <c r="D141" s="195"/>
      <c r="E141" s="195"/>
      <c r="F141" s="195"/>
      <c r="G141" s="195"/>
      <c r="H141" s="196"/>
      <c r="J141" s="93"/>
      <c r="L141" s="93">
        <v>7</v>
      </c>
      <c r="M141" s="93">
        <v>757</v>
      </c>
      <c r="O141" s="93">
        <v>7</v>
      </c>
      <c r="P141" s="93">
        <v>101</v>
      </c>
      <c r="R141" s="93">
        <v>101</v>
      </c>
      <c r="S141" s="93">
        <v>4937</v>
      </c>
      <c r="T141" s="93">
        <v>667</v>
      </c>
      <c r="U141" s="93">
        <v>1004</v>
      </c>
      <c r="W141" s="94">
        <f>(929-908)*700</f>
        <v>14700</v>
      </c>
      <c r="X141" s="94">
        <f>(1002-977)*700</f>
        <v>17500</v>
      </c>
      <c r="Y141" s="94">
        <f>(2677-2571)*2100</f>
        <v>222600</v>
      </c>
    </row>
    <row r="142" spans="1:25" x14ac:dyDescent="0.2">
      <c r="A142" s="197" t="s">
        <v>150</v>
      </c>
      <c r="B142" s="71" t="s">
        <v>135</v>
      </c>
      <c r="C142" s="198" t="e">
        <f>C146-C143-C144-C145</f>
        <v>#REF!</v>
      </c>
      <c r="D142" s="198"/>
      <c r="E142" s="198" t="e">
        <f>E146-E143-E144-E145</f>
        <v>#REF!</v>
      </c>
      <c r="F142" s="198"/>
      <c r="G142" s="198" t="e">
        <f>G146-G143-G144-G145</f>
        <v>#REF!</v>
      </c>
      <c r="H142" s="199"/>
      <c r="I142" s="30">
        <v>4.6055999999999999</v>
      </c>
      <c r="J142" s="30">
        <v>4.6055999999999999</v>
      </c>
      <c r="K142" s="30">
        <v>4.6055999999999999</v>
      </c>
      <c r="L142" s="80">
        <f>L141*(I142+I144+I145)</f>
        <v>36.481200000000001</v>
      </c>
      <c r="M142" s="80">
        <f>M141*(I142+I144+I145)</f>
        <v>3945.1812</v>
      </c>
      <c r="O142" s="80">
        <f>O141*(I142+I144+I145)</f>
        <v>36.481200000000001</v>
      </c>
      <c r="P142" s="80">
        <f>P141*(I142+I144+I145)</f>
        <v>526.37159999999994</v>
      </c>
      <c r="R142" s="80">
        <f>R141*(J142+J144+J145)</f>
        <v>526.37159999999994</v>
      </c>
      <c r="S142" s="80">
        <f>S141*(J142+J144+J145)</f>
        <v>25729.6692</v>
      </c>
      <c r="T142" s="80">
        <f>T141*(J142+J144+J145)</f>
        <v>3476.1371999999997</v>
      </c>
      <c r="U142" s="80">
        <f>U141*(J142+J144+J145)</f>
        <v>5232.4463999999998</v>
      </c>
      <c r="W142" s="97">
        <f>W141*(K142+K144+K145)</f>
        <v>76610.52</v>
      </c>
      <c r="X142" s="97">
        <f>X141*(K142+K144+K145)</f>
        <v>91203</v>
      </c>
      <c r="Y142" s="97">
        <f>Y141*(K142+K144+K145)</f>
        <v>1160102.1599999999</v>
      </c>
    </row>
    <row r="143" spans="1:25" x14ac:dyDescent="0.2">
      <c r="A143" s="197" t="s">
        <v>151</v>
      </c>
      <c r="B143" s="71" t="s">
        <v>135</v>
      </c>
      <c r="C143" s="198">
        <v>1.77E-2</v>
      </c>
      <c r="D143" s="198"/>
      <c r="E143" s="198">
        <v>1.77E-2</v>
      </c>
      <c r="F143" s="198"/>
      <c r="G143" s="198">
        <v>1.77E-2</v>
      </c>
      <c r="H143" s="200"/>
      <c r="I143" s="30">
        <v>1.77E-2</v>
      </c>
      <c r="J143" s="30">
        <v>1.77E-2</v>
      </c>
      <c r="K143" s="30">
        <v>1.77E-2</v>
      </c>
      <c r="L143" s="80">
        <f>L141*I143</f>
        <v>0.12390000000000001</v>
      </c>
      <c r="M143" s="80">
        <f>M141*I143</f>
        <v>13.398900000000001</v>
      </c>
      <c r="O143" s="80">
        <f>O141*I143</f>
        <v>0.12390000000000001</v>
      </c>
      <c r="P143" s="80">
        <f>P141*I143</f>
        <v>1.7877000000000001</v>
      </c>
      <c r="R143" s="80">
        <f>R141*J143</f>
        <v>1.7877000000000001</v>
      </c>
      <c r="S143" s="80">
        <f>S141*J143</f>
        <v>87.384900000000002</v>
      </c>
      <c r="T143" s="80">
        <f>T141*J143</f>
        <v>11.805900000000001</v>
      </c>
      <c r="U143" s="80">
        <f>U141*J143</f>
        <v>17.770800000000001</v>
      </c>
      <c r="W143" s="97">
        <f>W141*K143</f>
        <v>260.19</v>
      </c>
      <c r="X143" s="97">
        <f>X141*K143</f>
        <v>309.75</v>
      </c>
      <c r="Y143" s="97">
        <f>Y141*K143</f>
        <v>3940.02</v>
      </c>
    </row>
    <row r="144" spans="1:25" x14ac:dyDescent="0.2">
      <c r="A144" s="197" t="s">
        <v>152</v>
      </c>
      <c r="B144" s="71" t="s">
        <v>135</v>
      </c>
      <c r="C144" s="198">
        <v>0.48470000000000002</v>
      </c>
      <c r="D144" s="198"/>
      <c r="E144" s="198">
        <v>0.48470000000000002</v>
      </c>
      <c r="F144" s="198"/>
      <c r="G144" s="198">
        <v>0.48470000000000002</v>
      </c>
      <c r="H144" s="200"/>
      <c r="I144" s="30">
        <v>0.48470000000000002</v>
      </c>
      <c r="J144" s="30">
        <v>0.48470000000000002</v>
      </c>
      <c r="K144" s="30">
        <v>0.48470000000000002</v>
      </c>
      <c r="M144" s="80"/>
      <c r="O144" s="80"/>
      <c r="P144" s="80"/>
      <c r="R144" s="80"/>
      <c r="S144" s="80"/>
      <c r="T144" s="80"/>
      <c r="U144" s="80"/>
      <c r="W144" s="97"/>
      <c r="X144" s="97"/>
      <c r="Y144" s="97"/>
    </row>
    <row r="145" spans="1:25" x14ac:dyDescent="0.2">
      <c r="A145" s="197" t="s">
        <v>153</v>
      </c>
      <c r="B145" s="71" t="s">
        <v>135</v>
      </c>
      <c r="C145" s="198">
        <v>0.12130000000000001</v>
      </c>
      <c r="D145" s="198"/>
      <c r="E145" s="198">
        <v>0.12130000000000001</v>
      </c>
      <c r="F145" s="198"/>
      <c r="G145" s="198">
        <v>0.12130000000000001</v>
      </c>
      <c r="H145" s="200"/>
      <c r="I145" s="30">
        <v>0.12130000000000001</v>
      </c>
      <c r="J145" s="30">
        <v>0.12130000000000001</v>
      </c>
      <c r="K145" s="30">
        <v>0.12130000000000001</v>
      </c>
      <c r="M145" s="80"/>
      <c r="O145" s="80"/>
      <c r="P145" s="80"/>
      <c r="R145" s="80"/>
      <c r="S145" s="80"/>
      <c r="T145" s="80"/>
      <c r="U145" s="80"/>
      <c r="W145" s="97"/>
      <c r="X145" s="97"/>
      <c r="Y145" s="97"/>
    </row>
    <row r="146" spans="1:25" x14ac:dyDescent="0.2">
      <c r="A146" s="197" t="s">
        <v>154</v>
      </c>
      <c r="B146" s="71"/>
      <c r="C146" s="201" t="e">
        <f>#REF!</f>
        <v>#REF!</v>
      </c>
      <c r="D146" s="201"/>
      <c r="E146" s="201" t="e">
        <f>C146</f>
        <v>#REF!</v>
      </c>
      <c r="F146" s="201"/>
      <c r="G146" s="201" t="e">
        <f>C146</f>
        <v>#REF!</v>
      </c>
      <c r="H146" s="202"/>
      <c r="M146" s="80"/>
      <c r="O146" s="80"/>
      <c r="P146" s="80"/>
      <c r="R146" s="80"/>
      <c r="S146" s="80"/>
      <c r="T146" s="80"/>
      <c r="U146" s="80"/>
      <c r="W146" s="97"/>
      <c r="X146" s="97"/>
      <c r="Y146" s="97"/>
    </row>
    <row r="147" spans="1:25" x14ac:dyDescent="0.2">
      <c r="A147" s="194" t="s">
        <v>155</v>
      </c>
      <c r="B147" s="71" t="s">
        <v>135</v>
      </c>
      <c r="C147" s="198" t="e">
        <f>(-427801.07+77451.11)/#REF!</f>
        <v>#REF!</v>
      </c>
      <c r="D147" s="198"/>
      <c r="E147" s="198"/>
      <c r="F147" s="198"/>
      <c r="G147" s="198"/>
      <c r="H147" s="199"/>
      <c r="I147" s="64">
        <v>-0.1603</v>
      </c>
      <c r="J147" s="101"/>
      <c r="K147" s="101"/>
      <c r="L147" s="80">
        <f>L141*I147</f>
        <v>-1.1221000000000001</v>
      </c>
      <c r="M147" s="80">
        <f>M141*I147</f>
        <v>-121.3471</v>
      </c>
      <c r="O147" s="102">
        <f>O141*I147</f>
        <v>-1.1221000000000001</v>
      </c>
      <c r="P147" s="102">
        <f>P141*I147</f>
        <v>-16.190300000000001</v>
      </c>
      <c r="R147" s="102">
        <f>R141*J147</f>
        <v>0</v>
      </c>
      <c r="S147" s="102">
        <f>S141*K147</f>
        <v>0</v>
      </c>
      <c r="T147" s="102">
        <f>T141*J147</f>
        <v>0</v>
      </c>
      <c r="U147" s="102">
        <f>U141*J147</f>
        <v>0</v>
      </c>
      <c r="W147" s="103">
        <f>W141*K147</f>
        <v>0</v>
      </c>
      <c r="X147" s="103">
        <f>X141*K147</f>
        <v>0</v>
      </c>
      <c r="Y147" s="103">
        <f>Y141*K147</f>
        <v>0</v>
      </c>
    </row>
    <row r="148" spans="1:25" x14ac:dyDescent="0.2">
      <c r="A148" s="194" t="s">
        <v>156</v>
      </c>
      <c r="B148" s="71"/>
      <c r="C148" s="198"/>
      <c r="D148" s="198"/>
      <c r="E148" s="198"/>
      <c r="F148" s="198"/>
      <c r="G148" s="198"/>
      <c r="H148" s="199"/>
      <c r="M148" s="80"/>
      <c r="O148" s="80"/>
      <c r="P148" s="80"/>
      <c r="R148" s="80"/>
      <c r="S148" s="80"/>
      <c r="T148" s="80"/>
      <c r="U148" s="80"/>
      <c r="W148" s="97"/>
      <c r="X148" s="97"/>
      <c r="Y148" s="97"/>
    </row>
    <row r="149" spans="1:25" x14ac:dyDescent="0.2">
      <c r="A149" s="197" t="s">
        <v>157</v>
      </c>
      <c r="B149" s="71" t="s">
        <v>158</v>
      </c>
      <c r="C149" s="198"/>
      <c r="D149" s="198"/>
      <c r="E149" s="198"/>
      <c r="F149" s="198"/>
      <c r="G149" s="198" t="e">
        <f>#REF!</f>
        <v>#REF!</v>
      </c>
      <c r="H149" s="200"/>
      <c r="K149" s="64">
        <v>221.4511</v>
      </c>
      <c r="M149" s="80"/>
      <c r="O149" s="80"/>
      <c r="P149" s="80"/>
      <c r="R149" s="80"/>
      <c r="S149" s="80"/>
      <c r="T149" s="80"/>
      <c r="U149" s="80"/>
      <c r="W149" s="104">
        <f>W139*K149</f>
        <v>31003.153999999999</v>
      </c>
      <c r="X149" s="97">
        <f>X139*K149</f>
        <v>48054.888699999996</v>
      </c>
      <c r="Y149" s="97">
        <f>Y139*K149</f>
        <v>172067.50469999999</v>
      </c>
    </row>
    <row r="150" spans="1:25" x14ac:dyDescent="0.2">
      <c r="A150" s="197" t="s">
        <v>159</v>
      </c>
      <c r="B150" s="71" t="s">
        <v>135</v>
      </c>
      <c r="C150" s="198" t="e">
        <f>#REF!</f>
        <v>#REF!</v>
      </c>
      <c r="D150" s="198"/>
      <c r="E150" s="198" t="e">
        <f>#REF!</f>
        <v>#REF!</v>
      </c>
      <c r="F150" s="198"/>
      <c r="G150" s="198"/>
      <c r="H150" s="200"/>
      <c r="I150" s="30">
        <v>0.93100000000000005</v>
      </c>
      <c r="J150" s="64">
        <v>0.86850000000000005</v>
      </c>
      <c r="L150" s="80">
        <f>L141*I150</f>
        <v>6.5170000000000003</v>
      </c>
      <c r="M150" s="80">
        <f>M141*I150</f>
        <v>704.76700000000005</v>
      </c>
      <c r="O150" s="80">
        <f>O141*I150</f>
        <v>6.5170000000000003</v>
      </c>
      <c r="P150" s="80">
        <f>P141*I150</f>
        <v>94.031000000000006</v>
      </c>
      <c r="R150" s="80">
        <f>R141*J150</f>
        <v>87.718500000000006</v>
      </c>
      <c r="S150" s="80">
        <f>S141*J150</f>
        <v>4287.7845000000007</v>
      </c>
      <c r="T150" s="80">
        <f>T141*J150</f>
        <v>579.28950000000009</v>
      </c>
      <c r="U150" s="80">
        <f>U141*J150</f>
        <v>871.97400000000005</v>
      </c>
      <c r="W150" s="97">
        <f>W141*K150</f>
        <v>0</v>
      </c>
      <c r="X150" s="97">
        <f>X141*K150</f>
        <v>0</v>
      </c>
      <c r="Y150" s="97">
        <f>Y141*K150</f>
        <v>0</v>
      </c>
    </row>
    <row r="151" spans="1:25" x14ac:dyDescent="0.2">
      <c r="A151" s="194" t="s">
        <v>160</v>
      </c>
      <c r="B151" s="71" t="s">
        <v>135</v>
      </c>
      <c r="C151" s="198" t="e">
        <f>#REF!</f>
        <v>#REF!</v>
      </c>
      <c r="D151" s="198"/>
      <c r="E151" s="198" t="e">
        <f>#REF!</f>
        <v>#REF!</v>
      </c>
      <c r="F151" s="198"/>
      <c r="G151" s="198">
        <v>0</v>
      </c>
      <c r="H151" s="200"/>
      <c r="I151" s="30">
        <v>0.80130000000000001</v>
      </c>
      <c r="J151" s="30">
        <v>0.79320000000000002</v>
      </c>
      <c r="K151" s="30">
        <v>0</v>
      </c>
      <c r="L151" s="80">
        <f>L141*I151</f>
        <v>5.6090999999999998</v>
      </c>
      <c r="M151" s="80">
        <f>M141*I151</f>
        <v>606.58410000000003</v>
      </c>
      <c r="O151" s="80">
        <f>O141*I151</f>
        <v>5.6090999999999998</v>
      </c>
      <c r="P151" s="80">
        <f>P141*I151</f>
        <v>80.931300000000007</v>
      </c>
      <c r="R151" s="80">
        <f>R141*J151</f>
        <v>80.113200000000006</v>
      </c>
      <c r="S151" s="80">
        <f>S141*J151</f>
        <v>3916.0284000000001</v>
      </c>
      <c r="T151" s="80">
        <f>T141*J151</f>
        <v>529.06439999999998</v>
      </c>
      <c r="U151" s="80">
        <f>U141*J151</f>
        <v>796.37279999999998</v>
      </c>
      <c r="W151" s="97">
        <f>W141*K151</f>
        <v>0</v>
      </c>
      <c r="X151" s="97">
        <f>X141*K151</f>
        <v>0</v>
      </c>
      <c r="Y151" s="97">
        <f>Y141*K151</f>
        <v>0</v>
      </c>
    </row>
    <row r="152" spans="1:25" x14ac:dyDescent="0.2">
      <c r="A152" s="197"/>
      <c r="B152" s="71"/>
      <c r="C152" s="198"/>
      <c r="D152" s="198"/>
      <c r="E152" s="198"/>
      <c r="F152" s="198"/>
      <c r="G152" s="198"/>
      <c r="H152" s="200"/>
      <c r="M152" s="80"/>
      <c r="O152" s="80"/>
      <c r="P152" s="80"/>
      <c r="R152" s="80"/>
      <c r="S152" s="80"/>
      <c r="T152" s="80"/>
      <c r="U152" s="80"/>
      <c r="W152" s="97"/>
      <c r="X152" s="97"/>
      <c r="Y152" s="97"/>
    </row>
    <row r="153" spans="1:25" x14ac:dyDescent="0.2">
      <c r="A153" s="194" t="s">
        <v>161</v>
      </c>
      <c r="B153" s="71"/>
      <c r="C153" s="198"/>
      <c r="D153" s="198"/>
      <c r="E153" s="198"/>
      <c r="F153" s="198"/>
      <c r="G153" s="198"/>
      <c r="H153" s="200"/>
      <c r="M153" s="80"/>
      <c r="O153" s="80"/>
      <c r="P153" s="80"/>
      <c r="R153" s="80"/>
      <c r="S153" s="80"/>
      <c r="T153" s="80"/>
      <c r="U153" s="80"/>
      <c r="W153" s="97"/>
      <c r="X153" s="97"/>
      <c r="Y153" s="97"/>
    </row>
    <row r="154" spans="1:25" x14ac:dyDescent="0.2">
      <c r="A154" s="197" t="s">
        <v>162</v>
      </c>
      <c r="B154" s="71" t="s">
        <v>158</v>
      </c>
      <c r="C154" s="198"/>
      <c r="D154" s="198"/>
      <c r="E154" s="198"/>
      <c r="F154" s="198"/>
      <c r="G154" s="198">
        <v>267.89999999999998</v>
      </c>
      <c r="H154" s="200"/>
      <c r="K154" s="30">
        <v>267.89999999999998</v>
      </c>
      <c r="M154" s="80"/>
      <c r="O154" s="80"/>
      <c r="P154" s="80"/>
      <c r="R154" s="80"/>
      <c r="S154" s="80"/>
      <c r="T154" s="80"/>
      <c r="U154" s="80"/>
      <c r="W154" s="104">
        <f>W139*K154</f>
        <v>37506</v>
      </c>
      <c r="X154" s="104">
        <f>X139*K154</f>
        <v>58134.299999999996</v>
      </c>
      <c r="Y154" s="104">
        <f>Y139*K154</f>
        <v>208158.3</v>
      </c>
    </row>
    <row r="155" spans="1:25" x14ac:dyDescent="0.2">
      <c r="A155" s="197" t="s">
        <v>163</v>
      </c>
      <c r="B155" s="71" t="s">
        <v>135</v>
      </c>
      <c r="C155" s="198">
        <v>0.84489999999999998</v>
      </c>
      <c r="D155" s="203"/>
      <c r="E155" s="203">
        <v>0.92589999999999995</v>
      </c>
      <c r="F155" s="198"/>
      <c r="G155" s="198"/>
      <c r="H155" s="200"/>
      <c r="I155" s="30">
        <v>0.84489999999999998</v>
      </c>
      <c r="J155" s="30">
        <v>0.92589999999999995</v>
      </c>
      <c r="L155" s="80">
        <f>L141*I155</f>
        <v>5.9142999999999999</v>
      </c>
      <c r="M155" s="80">
        <f>M141*I155</f>
        <v>639.58929999999998</v>
      </c>
      <c r="O155" s="102">
        <f>O141*I155</f>
        <v>5.9142999999999999</v>
      </c>
      <c r="P155" s="102">
        <f>P141*I155</f>
        <v>85.334900000000005</v>
      </c>
      <c r="R155" s="102">
        <f>R141*J155</f>
        <v>93.515899999999988</v>
      </c>
      <c r="S155" s="102">
        <f>S141*J155</f>
        <v>4571.1682999999994</v>
      </c>
      <c r="T155" s="102">
        <f>T141*J155</f>
        <v>617.57529999999997</v>
      </c>
      <c r="U155" s="102">
        <f>U141*J155</f>
        <v>929.60359999999991</v>
      </c>
      <c r="W155" s="103">
        <f>W141*K155</f>
        <v>0</v>
      </c>
      <c r="X155" s="103">
        <f>X141*K155</f>
        <v>0</v>
      </c>
      <c r="Y155" s="103">
        <f>Y141*K155</f>
        <v>0</v>
      </c>
    </row>
    <row r="156" spans="1:25" x14ac:dyDescent="0.2">
      <c r="A156" s="194" t="s">
        <v>164</v>
      </c>
      <c r="B156" s="71"/>
      <c r="C156" s="198"/>
      <c r="D156" s="203"/>
      <c r="E156" s="198"/>
      <c r="F156" s="198"/>
      <c r="G156" s="198"/>
      <c r="H156" s="200"/>
      <c r="M156" s="80"/>
      <c r="O156" s="102"/>
      <c r="P156" s="102"/>
      <c r="R156" s="102"/>
      <c r="S156" s="102"/>
      <c r="T156" s="102"/>
      <c r="U156" s="102"/>
      <c r="W156" s="103"/>
      <c r="X156" s="103"/>
      <c r="Y156" s="103"/>
    </row>
    <row r="157" spans="1:25" x14ac:dyDescent="0.2">
      <c r="A157" s="197" t="s">
        <v>165</v>
      </c>
      <c r="B157" s="71" t="s">
        <v>166</v>
      </c>
      <c r="C157" s="198"/>
      <c r="D157" s="203"/>
      <c r="E157" s="203">
        <v>40.15</v>
      </c>
      <c r="F157" s="198"/>
      <c r="G157" s="203">
        <v>40.15</v>
      </c>
      <c r="H157" s="200"/>
      <c r="J157" s="30">
        <v>40.15</v>
      </c>
      <c r="K157" s="30">
        <v>40.15</v>
      </c>
      <c r="M157" s="80"/>
      <c r="O157" s="102"/>
      <c r="P157" s="102"/>
      <c r="R157" s="103">
        <f>G157</f>
        <v>40.15</v>
      </c>
      <c r="S157" s="103">
        <f>G157</f>
        <v>40.15</v>
      </c>
      <c r="T157" s="103">
        <f>S157</f>
        <v>40.15</v>
      </c>
      <c r="U157" s="103">
        <f>S157</f>
        <v>40.15</v>
      </c>
      <c r="W157" s="103">
        <f>G157</f>
        <v>40.15</v>
      </c>
      <c r="X157" s="103">
        <f>W157</f>
        <v>40.15</v>
      </c>
      <c r="Y157" s="103">
        <f>W157</f>
        <v>40.15</v>
      </c>
    </row>
    <row r="158" spans="1:25" x14ac:dyDescent="0.2">
      <c r="A158" s="197" t="s">
        <v>167</v>
      </c>
      <c r="B158" s="71" t="s">
        <v>135</v>
      </c>
      <c r="C158" s="198">
        <v>0.7732</v>
      </c>
      <c r="D158" s="203"/>
      <c r="E158" s="198"/>
      <c r="F158" s="198"/>
      <c r="G158" s="198"/>
      <c r="H158" s="200"/>
      <c r="I158" s="30">
        <v>0.7732</v>
      </c>
      <c r="L158" s="80">
        <f>L141*I158</f>
        <v>5.4123999999999999</v>
      </c>
      <c r="M158" s="80">
        <f>M141*I158</f>
        <v>585.31240000000003</v>
      </c>
      <c r="O158" s="102">
        <f>O141*I158</f>
        <v>5.4123999999999999</v>
      </c>
      <c r="P158" s="102">
        <f>P141*I158</f>
        <v>78.093199999999996</v>
      </c>
      <c r="R158" s="102">
        <f>R141*J158</f>
        <v>0</v>
      </c>
      <c r="S158" s="102">
        <f>S141*K158</f>
        <v>0</v>
      </c>
      <c r="T158" s="102">
        <f>T141*J158</f>
        <v>0</v>
      </c>
      <c r="U158" s="102">
        <f>U141*J158</f>
        <v>0</v>
      </c>
      <c r="W158" s="103">
        <f>W141*K158</f>
        <v>0</v>
      </c>
      <c r="X158" s="103">
        <f>X141*K158</f>
        <v>0</v>
      </c>
      <c r="Y158" s="103">
        <f>Y141*K158</f>
        <v>0</v>
      </c>
    </row>
    <row r="159" spans="1:25" x14ac:dyDescent="0.2">
      <c r="A159" s="194" t="s">
        <v>168</v>
      </c>
      <c r="B159" s="71"/>
      <c r="C159" s="71"/>
      <c r="D159" s="203"/>
      <c r="E159" s="71"/>
      <c r="F159" s="71"/>
      <c r="G159" s="71"/>
      <c r="H159" s="200"/>
      <c r="M159" s="80"/>
      <c r="O159" s="102"/>
      <c r="P159" s="102"/>
      <c r="R159" s="102"/>
      <c r="S159" s="102"/>
      <c r="T159" s="102"/>
      <c r="U159" s="102"/>
      <c r="W159" s="103"/>
      <c r="X159" s="103"/>
      <c r="Y159" s="103"/>
    </row>
    <row r="160" spans="1:25" x14ac:dyDescent="0.2">
      <c r="A160" s="197" t="s">
        <v>169</v>
      </c>
      <c r="B160" s="71" t="s">
        <v>170</v>
      </c>
      <c r="C160" s="198">
        <v>5</v>
      </c>
      <c r="D160" s="203"/>
      <c r="E160" s="203">
        <v>28.72</v>
      </c>
      <c r="F160" s="71"/>
      <c r="G160" s="203">
        <v>28.72</v>
      </c>
      <c r="H160" s="200"/>
      <c r="I160" s="30">
        <v>5</v>
      </c>
      <c r="J160" s="30">
        <v>28.72</v>
      </c>
      <c r="K160" s="30">
        <v>28.72</v>
      </c>
      <c r="L160" s="80">
        <v>5</v>
      </c>
      <c r="M160" s="80">
        <v>5</v>
      </c>
      <c r="O160" s="102">
        <v>5</v>
      </c>
      <c r="P160" s="102">
        <v>5</v>
      </c>
      <c r="R160" s="103">
        <f>G160</f>
        <v>28.72</v>
      </c>
      <c r="S160" s="103">
        <f>G160</f>
        <v>28.72</v>
      </c>
      <c r="T160" s="103">
        <f>S160</f>
        <v>28.72</v>
      </c>
      <c r="U160" s="103">
        <f>S160</f>
        <v>28.72</v>
      </c>
      <c r="W160" s="103">
        <f>G160</f>
        <v>28.72</v>
      </c>
      <c r="X160" s="103">
        <f>W160</f>
        <v>28.72</v>
      </c>
      <c r="Y160" s="103">
        <f>W160</f>
        <v>28.72</v>
      </c>
    </row>
    <row r="161" spans="1:25" x14ac:dyDescent="0.2">
      <c r="A161" s="197" t="s">
        <v>171</v>
      </c>
      <c r="B161" s="71" t="s">
        <v>135</v>
      </c>
      <c r="C161" s="198">
        <v>0.45689999999999997</v>
      </c>
      <c r="D161" s="198"/>
      <c r="E161" s="198"/>
      <c r="F161" s="198"/>
      <c r="G161" s="198"/>
      <c r="H161" s="200"/>
      <c r="I161" s="30">
        <v>0.45689999999999997</v>
      </c>
      <c r="L161" s="80">
        <f>L141*I161</f>
        <v>3.1982999999999997</v>
      </c>
      <c r="M161" s="80">
        <f>M141*I161</f>
        <v>345.87329999999997</v>
      </c>
      <c r="O161" s="102">
        <f>O141*I161</f>
        <v>3.1982999999999997</v>
      </c>
      <c r="P161" s="102">
        <f>P141*I161</f>
        <v>46.146899999999995</v>
      </c>
      <c r="R161" s="102"/>
      <c r="S161" s="102"/>
      <c r="T161" s="102"/>
      <c r="U161" s="102"/>
      <c r="W161" s="103"/>
      <c r="X161" s="103"/>
      <c r="Y161" s="103"/>
    </row>
    <row r="162" spans="1:25" x14ac:dyDescent="0.2">
      <c r="A162" s="194" t="s">
        <v>172</v>
      </c>
      <c r="B162" s="71" t="s">
        <v>135</v>
      </c>
      <c r="C162" s="198" t="e">
        <f>#REF!</f>
        <v>#REF!</v>
      </c>
      <c r="D162" s="203"/>
      <c r="E162" s="203" t="e">
        <f>C162</f>
        <v>#REF!</v>
      </c>
      <c r="F162" s="203"/>
      <c r="G162" s="203" t="e">
        <f>C162</f>
        <v>#REF!</v>
      </c>
      <c r="H162" s="200"/>
      <c r="I162" s="64">
        <v>0.128</v>
      </c>
      <c r="J162" s="64">
        <v>0.128</v>
      </c>
      <c r="K162" s="64">
        <v>0.128</v>
      </c>
      <c r="L162" s="80">
        <f>-(L142+L143+L150+L151+L155+L158+L160+L161)*25%</f>
        <v>-17.064049999999998</v>
      </c>
      <c r="M162" s="80">
        <f>-(M142+M143+M150+M151+M155+M158+M160+M161)*10%</f>
        <v>-684.57061999999996</v>
      </c>
      <c r="O162" s="80">
        <f>-(O142+O143+O150+O151+O155+O158+O160+O161)*25%</f>
        <v>-17.064049999999998</v>
      </c>
      <c r="P162" s="102">
        <f>P141*I162</f>
        <v>12.928000000000001</v>
      </c>
      <c r="R162" s="102">
        <f>R141*J162</f>
        <v>12.928000000000001</v>
      </c>
      <c r="S162" s="102">
        <f>S141*J162</f>
        <v>631.93600000000004</v>
      </c>
      <c r="T162" s="102">
        <f>T141*J162</f>
        <v>85.376000000000005</v>
      </c>
      <c r="U162" s="102">
        <f>U141*J162</f>
        <v>128.512</v>
      </c>
      <c r="W162" s="103">
        <f>W141*K162</f>
        <v>1881.6000000000001</v>
      </c>
      <c r="X162" s="103">
        <f>X141*K162</f>
        <v>2240</v>
      </c>
      <c r="Y162" s="103">
        <f>Y141*K162</f>
        <v>28492.799999999999</v>
      </c>
    </row>
    <row r="163" spans="1:25" x14ac:dyDescent="0.2">
      <c r="A163" s="194" t="s">
        <v>173</v>
      </c>
      <c r="B163" s="71"/>
      <c r="C163" s="198" t="e">
        <f>#REF!</f>
        <v>#REF!</v>
      </c>
      <c r="D163" s="203"/>
      <c r="E163" s="203" t="e">
        <f>C163</f>
        <v>#REF!</v>
      </c>
      <c r="F163" s="203"/>
      <c r="G163" s="203" t="e">
        <f>C163</f>
        <v>#REF!</v>
      </c>
      <c r="H163" s="200"/>
      <c r="I163" s="30">
        <v>1.8E-3</v>
      </c>
      <c r="J163" s="30">
        <v>1.8E-3</v>
      </c>
      <c r="K163" s="30">
        <v>1.8E-3</v>
      </c>
      <c r="L163" s="80">
        <f>-(L142+L143+L150+L151+L155+L158+L160+L161+L162)*5%</f>
        <v>-2.5596075000000003</v>
      </c>
      <c r="M163" s="80"/>
      <c r="O163" s="80">
        <f>-(O142+O143+O150+O151+O155+O158+O160+O161+O162)*5%</f>
        <v>-2.5596075000000003</v>
      </c>
      <c r="P163" s="107">
        <f>P141*I163</f>
        <v>0.18179999999999999</v>
      </c>
      <c r="R163" s="107">
        <f>R141*K163</f>
        <v>0.18179999999999999</v>
      </c>
      <c r="S163" s="107">
        <f>S141*J163</f>
        <v>8.8865999999999996</v>
      </c>
      <c r="T163" s="107">
        <f>T141*J163</f>
        <v>1.2005999999999999</v>
      </c>
      <c r="U163" s="107">
        <f>U141*J163</f>
        <v>1.8071999999999999</v>
      </c>
      <c r="W163" s="104">
        <f>W141*K163</f>
        <v>26.46</v>
      </c>
      <c r="X163" s="104">
        <f>X141*K163</f>
        <v>31.5</v>
      </c>
      <c r="Y163" s="104">
        <f>Y141*K163</f>
        <v>400.68</v>
      </c>
    </row>
    <row r="164" spans="1:25" x14ac:dyDescent="0.2">
      <c r="A164" s="194" t="s">
        <v>174</v>
      </c>
      <c r="B164" s="71"/>
      <c r="C164" s="198"/>
      <c r="D164" s="198"/>
      <c r="E164" s="198"/>
      <c r="F164" s="198"/>
      <c r="G164" s="198"/>
      <c r="H164" s="200"/>
      <c r="M164" s="80"/>
      <c r="O164" s="80"/>
      <c r="P164" s="80"/>
      <c r="R164" s="80"/>
      <c r="S164" s="80"/>
      <c r="T164" s="80"/>
      <c r="U164" s="80"/>
      <c r="W164" s="97"/>
      <c r="X164" s="97"/>
      <c r="Y164" s="97"/>
    </row>
    <row r="165" spans="1:25" x14ac:dyDescent="0.2">
      <c r="A165" s="197" t="s">
        <v>175</v>
      </c>
      <c r="B165" s="71" t="s">
        <v>135</v>
      </c>
      <c r="C165" s="198">
        <f>0.1163-(0.1938-0.1163)</f>
        <v>3.8800000000000001E-2</v>
      </c>
      <c r="D165" s="198"/>
      <c r="E165" s="198">
        <f>C165</f>
        <v>3.8800000000000001E-2</v>
      </c>
      <c r="F165" s="198"/>
      <c r="G165" s="416">
        <f>C165</f>
        <v>3.8800000000000001E-2</v>
      </c>
      <c r="H165" s="70" t="s">
        <v>199</v>
      </c>
      <c r="I165" s="30">
        <v>3.8800000000000001E-2</v>
      </c>
      <c r="J165" s="30">
        <v>3.8800000000000001E-2</v>
      </c>
      <c r="K165" s="30">
        <v>3.8800000000000001E-2</v>
      </c>
      <c r="L165" s="80">
        <f>L141*I165</f>
        <v>0.27160000000000001</v>
      </c>
      <c r="M165" s="80">
        <f>M141*I165</f>
        <v>29.371600000000001</v>
      </c>
      <c r="O165" s="80">
        <f>O141*I165</f>
        <v>0.27160000000000001</v>
      </c>
      <c r="P165" s="80">
        <f>P141*I165</f>
        <v>3.9188000000000001</v>
      </c>
      <c r="R165" s="80">
        <f>R141*J165</f>
        <v>3.9188000000000001</v>
      </c>
      <c r="S165" s="80">
        <f>S141*J165</f>
        <v>191.5556</v>
      </c>
      <c r="T165" s="80">
        <f>T141*J165</f>
        <v>25.8796</v>
      </c>
      <c r="U165" s="80">
        <f>U141*J165</f>
        <v>38.955199999999998</v>
      </c>
      <c r="W165" s="97">
        <f>W141*K165</f>
        <v>570.36</v>
      </c>
      <c r="X165" s="97">
        <f>X141*K165</f>
        <v>679</v>
      </c>
      <c r="Y165" s="97">
        <f>Y141*K165</f>
        <v>8636.880000000001</v>
      </c>
    </row>
    <row r="166" spans="1:25" x14ac:dyDescent="0.2">
      <c r="A166" s="197" t="s">
        <v>176</v>
      </c>
      <c r="B166" s="71" t="s">
        <v>135</v>
      </c>
      <c r="C166" s="198">
        <v>2.5000000000000001E-3</v>
      </c>
      <c r="D166" s="198"/>
      <c r="E166" s="198">
        <v>2.5000000000000001E-3</v>
      </c>
      <c r="F166" s="198"/>
      <c r="G166" s="203">
        <f>C166</f>
        <v>2.5000000000000001E-3</v>
      </c>
      <c r="H166" s="200"/>
      <c r="I166" s="30">
        <v>2.5000000000000001E-3</v>
      </c>
      <c r="J166" s="30">
        <v>2.5000000000000001E-3</v>
      </c>
      <c r="K166" s="30">
        <v>2.5000000000000001E-3</v>
      </c>
      <c r="L166" s="80">
        <f>$L$141*I166</f>
        <v>1.7500000000000002E-2</v>
      </c>
      <c r="M166" s="80">
        <f>M141*I166</f>
        <v>1.8925000000000001</v>
      </c>
      <c r="O166" s="80">
        <f>$O$141*I166</f>
        <v>1.7500000000000002E-2</v>
      </c>
      <c r="P166" s="80">
        <f>P141*I166</f>
        <v>0.2525</v>
      </c>
      <c r="R166" s="80">
        <f>$R$141*J166</f>
        <v>0.2525</v>
      </c>
      <c r="S166" s="80">
        <f>$S$141*J166</f>
        <v>12.342500000000001</v>
      </c>
      <c r="T166" s="80">
        <f>$T$141*J166</f>
        <v>1.6675</v>
      </c>
      <c r="U166" s="80">
        <f>$U$141*J166</f>
        <v>2.5100000000000002</v>
      </c>
      <c r="W166" s="97">
        <f>$W$141*K166</f>
        <v>36.75</v>
      </c>
      <c r="X166" s="97">
        <f>$X$141*K166</f>
        <v>43.75</v>
      </c>
      <c r="Y166" s="97">
        <f>$Y$141*K166</f>
        <v>556.5</v>
      </c>
    </row>
    <row r="167" spans="1:25" x14ac:dyDescent="0.2">
      <c r="A167" s="197" t="s">
        <v>200</v>
      </c>
      <c r="B167" s="71" t="s">
        <v>135</v>
      </c>
      <c r="C167" s="198">
        <v>0.1938</v>
      </c>
      <c r="D167" s="198"/>
      <c r="E167" s="198">
        <f>C167</f>
        <v>0.1938</v>
      </c>
      <c r="F167" s="198"/>
      <c r="G167" s="203">
        <f>C167</f>
        <v>0.1938</v>
      </c>
      <c r="H167" s="70" t="s">
        <v>198</v>
      </c>
      <c r="I167" s="30">
        <v>0.1938</v>
      </c>
      <c r="J167" s="30">
        <v>0.1938</v>
      </c>
      <c r="K167" s="30">
        <v>0.1938</v>
      </c>
      <c r="L167" s="80">
        <f>$L$141*I167</f>
        <v>1.3566</v>
      </c>
      <c r="M167" s="80">
        <f>M141*I167</f>
        <v>146.70660000000001</v>
      </c>
      <c r="O167" s="80">
        <f>$O$141*I167</f>
        <v>1.3566</v>
      </c>
      <c r="P167" s="80">
        <f>P141*I167</f>
        <v>19.573799999999999</v>
      </c>
      <c r="R167" s="80">
        <f>$R$141*J167</f>
        <v>19.573799999999999</v>
      </c>
      <c r="S167" s="80">
        <f>$S$141*J167</f>
        <v>956.79060000000004</v>
      </c>
      <c r="T167" s="80">
        <f>$T$141*J167</f>
        <v>129.2646</v>
      </c>
      <c r="U167" s="80">
        <f>$U$141*J167</f>
        <v>194.5752</v>
      </c>
      <c r="W167" s="97">
        <f>$W$141*K167</f>
        <v>2848.86</v>
      </c>
      <c r="X167" s="97">
        <f>$X$141*K167</f>
        <v>3391.5</v>
      </c>
      <c r="Y167" s="97">
        <f>$Y$141*K167</f>
        <v>43139.88</v>
      </c>
    </row>
    <row r="168" spans="1:25" x14ac:dyDescent="0.2">
      <c r="A168" s="204" t="s">
        <v>177</v>
      </c>
      <c r="B168" s="205" t="s">
        <v>135</v>
      </c>
      <c r="C168" s="206">
        <v>0.40039999999999998</v>
      </c>
      <c r="D168" s="206"/>
      <c r="E168" s="206">
        <v>0.40039999999999998</v>
      </c>
      <c r="F168" s="206"/>
      <c r="G168" s="203">
        <f>C168</f>
        <v>0.40039999999999998</v>
      </c>
      <c r="H168" s="200"/>
      <c r="I168" s="30">
        <v>0.40039999999999998</v>
      </c>
      <c r="J168" s="30">
        <v>0.40039999999999998</v>
      </c>
      <c r="K168" s="30">
        <v>0.40039999999999998</v>
      </c>
      <c r="L168" s="80">
        <f>L141*I168</f>
        <v>2.8028</v>
      </c>
      <c r="M168" s="80">
        <f>M141*I168</f>
        <v>303.1028</v>
      </c>
      <c r="O168" s="80">
        <f>O141*I168</f>
        <v>2.8028</v>
      </c>
      <c r="P168" s="80">
        <f>P141*I168</f>
        <v>40.440399999999997</v>
      </c>
      <c r="R168" s="80">
        <f>R141*J168</f>
        <v>40.440399999999997</v>
      </c>
      <c r="S168" s="80">
        <f>S141*J168</f>
        <v>1976.7747999999999</v>
      </c>
      <c r="T168" s="80">
        <f>T141*J168</f>
        <v>267.0668</v>
      </c>
      <c r="U168" s="80">
        <f>U141*J168</f>
        <v>402.0016</v>
      </c>
      <c r="W168" s="97">
        <f>W141*K168</f>
        <v>5885.88</v>
      </c>
      <c r="X168" s="97">
        <f>X141*K168</f>
        <v>7007</v>
      </c>
      <c r="Y168" s="97">
        <f>Y141*K168</f>
        <v>89129.04</v>
      </c>
    </row>
    <row r="169" spans="1:25" ht="13.5" thickBot="1" x14ac:dyDescent="0.25">
      <c r="A169" s="207" t="s">
        <v>178</v>
      </c>
      <c r="B169" s="208"/>
      <c r="C169" s="209" t="e">
        <f>C146+C147+C150+C151+C155+C158+C161+C162+C163+C165+C166+C167+C168</f>
        <v>#REF!</v>
      </c>
      <c r="D169" s="210"/>
      <c r="E169" s="209" t="e">
        <f>E146+E147+E150+E151+E155+E158+E161+E162+E163+E165+E166+E167+E168</f>
        <v>#REF!</v>
      </c>
      <c r="F169" s="210"/>
      <c r="G169" s="209" t="e">
        <f>G146+G147+G150+G151+G155+G158+G161+G162+G163+G165+G166+G167+G168</f>
        <v>#REF!</v>
      </c>
      <c r="H169" s="209"/>
      <c r="I169" s="209">
        <v>9.6416000000000004</v>
      </c>
      <c r="J169" s="209">
        <v>8.5822000000000003</v>
      </c>
      <c r="K169" s="209">
        <v>5.9946000000000002</v>
      </c>
      <c r="L169" s="115">
        <f>SUM(L142:L168)</f>
        <v>51.958942499999992</v>
      </c>
      <c r="M169" s="116">
        <f>SUM(M142:M168)</f>
        <v>6520.8619799999997</v>
      </c>
      <c r="O169" s="117">
        <f>SUM(O142:O168)</f>
        <v>51.958942499999992</v>
      </c>
      <c r="P169" s="117">
        <f>SUM(P142:P168)</f>
        <v>978.80160000000001</v>
      </c>
      <c r="R169" s="117">
        <f>SUM(R142:R168)</f>
        <v>935.67219999999998</v>
      </c>
      <c r="S169" s="117">
        <f>SUM(S142:S168)</f>
        <v>42439.191400000003</v>
      </c>
      <c r="T169" s="117">
        <f>SUM(T142:T168)</f>
        <v>5793.1973999999991</v>
      </c>
      <c r="U169" s="117">
        <f>SUM(U142:U168)</f>
        <v>8685.3988000000008</v>
      </c>
      <c r="W169" s="118">
        <f>SUM(W142:W168)</f>
        <v>156698.64399999997</v>
      </c>
      <c r="X169" s="118">
        <f>SUM(X142:X168)</f>
        <v>211163.55869999999</v>
      </c>
      <c r="Y169" s="118">
        <f>SUM(Y142:Y168)</f>
        <v>1714692.6346999996</v>
      </c>
    </row>
    <row r="170" spans="1:25" ht="14.25" thickTop="1" thickBot="1" x14ac:dyDescent="0.25">
      <c r="A170" s="207" t="s">
        <v>179</v>
      </c>
      <c r="B170" s="208" t="s">
        <v>166</v>
      </c>
      <c r="C170" s="211">
        <f>C160</f>
        <v>5</v>
      </c>
      <c r="D170" s="211"/>
      <c r="E170" s="211">
        <f>E157+E160</f>
        <v>68.87</v>
      </c>
      <c r="F170" s="211"/>
      <c r="G170" s="211">
        <f>G157+G160</f>
        <v>68.87</v>
      </c>
      <c r="H170" s="209"/>
      <c r="I170" s="120">
        <f>I142+I143+I144+I145+I150+I151+I155+I158+I161</f>
        <v>9.0365999999999982</v>
      </c>
      <c r="J170" s="64" t="e">
        <f>E169-J169</f>
        <v>#REF!</v>
      </c>
      <c r="K170" s="64" t="e">
        <f>G169-K169</f>
        <v>#REF!</v>
      </c>
      <c r="L170" s="121"/>
      <c r="M170" s="30" t="s">
        <v>180</v>
      </c>
      <c r="O170" s="121">
        <f>O141*I172</f>
        <v>1.0164</v>
      </c>
      <c r="P170" s="121">
        <f>P141*I172</f>
        <v>14.665199999999999</v>
      </c>
      <c r="R170" s="121">
        <f>R141*J172</f>
        <v>14.665199999999999</v>
      </c>
      <c r="S170" s="121">
        <f>S141*K172</f>
        <v>716.85239999999999</v>
      </c>
      <c r="T170" s="121">
        <f>T141*J172</f>
        <v>96.848399999999998</v>
      </c>
      <c r="U170" s="121">
        <f>U141*J172</f>
        <v>145.7808</v>
      </c>
      <c r="W170" s="122">
        <f>W141*K172</f>
        <v>2134.44</v>
      </c>
      <c r="X170" s="122">
        <f>X141*K172</f>
        <v>2541</v>
      </c>
      <c r="Y170" s="122">
        <f>Y141*K172</f>
        <v>32321.52</v>
      </c>
    </row>
    <row r="171" spans="1:25" ht="14.25" thickTop="1" thickBot="1" x14ac:dyDescent="0.25">
      <c r="A171" s="207" t="s">
        <v>181</v>
      </c>
      <c r="B171" s="212" t="s">
        <v>158</v>
      </c>
      <c r="C171" s="209"/>
      <c r="D171" s="209"/>
      <c r="E171" s="209"/>
      <c r="F171" s="209"/>
      <c r="G171" s="209" t="e">
        <f>G149+G154</f>
        <v>#REF!</v>
      </c>
      <c r="H171" s="209"/>
      <c r="I171" s="30" t="s">
        <v>182</v>
      </c>
      <c r="J171" s="30" t="s">
        <v>182</v>
      </c>
      <c r="K171" s="30" t="s">
        <v>182</v>
      </c>
      <c r="L171" s="121"/>
      <c r="M171" s="30" t="s">
        <v>183</v>
      </c>
      <c r="O171" s="121">
        <f>O141*I173</f>
        <v>1.89E-2</v>
      </c>
      <c r="P171" s="121">
        <f>P141*I173</f>
        <v>0.2727</v>
      </c>
      <c r="R171" s="121">
        <f>R141*J173</f>
        <v>0.2727</v>
      </c>
      <c r="S171" s="121">
        <f>S141*K173</f>
        <v>13.3299</v>
      </c>
      <c r="T171" s="121">
        <f>T141*J173</f>
        <v>1.8009000000000002</v>
      </c>
      <c r="U171" s="121">
        <f>U141*J173</f>
        <v>2.7108000000000003</v>
      </c>
      <c r="W171" s="122">
        <f>W141*K173</f>
        <v>39.690000000000005</v>
      </c>
      <c r="X171" s="122">
        <f>X141*K173</f>
        <v>47.25</v>
      </c>
      <c r="Y171" s="122">
        <f>Y141*K173</f>
        <v>601.02</v>
      </c>
    </row>
    <row r="172" spans="1:25" ht="13.5" thickTop="1" x14ac:dyDescent="0.2">
      <c r="A172" s="71"/>
      <c r="B172" s="71"/>
      <c r="C172" s="71"/>
      <c r="D172" s="990" t="s">
        <v>184</v>
      </c>
      <c r="E172" s="990"/>
      <c r="F172" s="991"/>
      <c r="G172" s="992" t="s">
        <v>185</v>
      </c>
      <c r="H172" s="990"/>
      <c r="I172" s="30">
        <v>0.1452</v>
      </c>
      <c r="J172" s="30">
        <v>0.1452</v>
      </c>
      <c r="K172" s="30">
        <v>0.1452</v>
      </c>
      <c r="L172" s="121"/>
      <c r="M172" s="30" t="s">
        <v>186</v>
      </c>
      <c r="O172" s="121">
        <f>O141*I174</f>
        <v>0.13439999999999999</v>
      </c>
      <c r="P172" s="121">
        <f>P141*I174</f>
        <v>1.9391999999999998</v>
      </c>
      <c r="R172" s="121">
        <f>R141*J174</f>
        <v>1.9391999999999998</v>
      </c>
      <c r="S172" s="121">
        <f>S141*J174</f>
        <v>94.790399999999991</v>
      </c>
      <c r="T172" s="121">
        <f>T141*J174</f>
        <v>12.806399999999998</v>
      </c>
      <c r="U172" s="121">
        <f>U141*J174</f>
        <v>19.276799999999998</v>
      </c>
      <c r="W172" s="122">
        <v>0</v>
      </c>
      <c r="X172" s="122">
        <v>0</v>
      </c>
      <c r="Y172" s="122">
        <v>0</v>
      </c>
    </row>
    <row r="173" spans="1:25" x14ac:dyDescent="0.2">
      <c r="A173" s="71"/>
      <c r="B173" s="71"/>
      <c r="C173" s="71"/>
      <c r="D173" s="213" t="s">
        <v>187</v>
      </c>
      <c r="E173" s="214" t="s">
        <v>188</v>
      </c>
      <c r="F173" s="215" t="s">
        <v>189</v>
      </c>
      <c r="G173" s="993" t="s">
        <v>190</v>
      </c>
      <c r="H173" s="994"/>
      <c r="I173" s="64">
        <v>2.7000000000000001E-3</v>
      </c>
      <c r="J173" s="64">
        <v>2.7000000000000001E-3</v>
      </c>
      <c r="K173" s="64">
        <v>2.7000000000000001E-3</v>
      </c>
      <c r="L173" s="121"/>
      <c r="M173" s="30" t="s">
        <v>191</v>
      </c>
      <c r="O173" s="121">
        <f>(SUM(O147,O155:O162))*12%</f>
        <v>0.16066200000000008</v>
      </c>
      <c r="P173" s="121">
        <f>(SUM(P147,P155:P162))*12%</f>
        <v>25.357523999999998</v>
      </c>
      <c r="R173" s="121">
        <f>(SUM(R147,R155:R162))*12%</f>
        <v>21.037667999999996</v>
      </c>
      <c r="S173" s="121">
        <f>(SUM(S147,S155:S162))*12%</f>
        <v>632.63691599999981</v>
      </c>
      <c r="T173" s="121">
        <f>(SUM(T147,T155:T162))*12%</f>
        <v>92.618555999999984</v>
      </c>
      <c r="U173" s="121">
        <f>(SUM(U147,U155:U162))*12%</f>
        <v>135.23827199999999</v>
      </c>
      <c r="W173" s="122">
        <f>(SUM(W147,W154:W162))*12%</f>
        <v>4734.7763999999997</v>
      </c>
      <c r="X173" s="122">
        <f>(SUM(X147,X154:X162))*12%</f>
        <v>7253.1803999999993</v>
      </c>
      <c r="Y173" s="122">
        <f>(SUM(Y147,Y154:Y162))*12%</f>
        <v>28406.396399999994</v>
      </c>
    </row>
    <row r="174" spans="1:25" ht="13.5" thickBot="1" x14ac:dyDescent="0.25">
      <c r="A174" s="71"/>
      <c r="B174" s="71"/>
      <c r="C174" s="71"/>
      <c r="D174" s="216" t="e">
        <f>#REF!</f>
        <v>#REF!</v>
      </c>
      <c r="E174" s="216" t="e">
        <f>#REF!</f>
        <v>#REF!</v>
      </c>
      <c r="F174" s="216" t="e">
        <f>#REF!</f>
        <v>#REF!</v>
      </c>
      <c r="G174" s="217">
        <v>0.12</v>
      </c>
      <c r="H174" s="218"/>
      <c r="I174" s="64">
        <v>1.9199999999999998E-2</v>
      </c>
      <c r="J174" s="64">
        <v>1.9199999999999998E-2</v>
      </c>
      <c r="K174" s="64">
        <v>1.9199999999999998E-2</v>
      </c>
      <c r="O174" s="116">
        <f>SUM(O169:O173)</f>
        <v>53.289304499999993</v>
      </c>
      <c r="P174" s="116">
        <f>SUM(P169:P173)</f>
        <v>1021.0362240000001</v>
      </c>
      <c r="R174" s="116">
        <f>SUM(R169:R173)</f>
        <v>973.58696800000007</v>
      </c>
      <c r="S174" s="116">
        <f>SUM(S169:S173)</f>
        <v>43896.801016000005</v>
      </c>
      <c r="T174" s="116">
        <f>SUM(T169:T173)</f>
        <v>5997.2716559999999</v>
      </c>
      <c r="U174" s="116">
        <f>SUM(U169:U173)</f>
        <v>8988.4054720000022</v>
      </c>
      <c r="W174" s="116">
        <f>SUM(W169:W173)</f>
        <v>163607.55039999998</v>
      </c>
      <c r="X174" s="116">
        <f>SUM(X169:X173)</f>
        <v>221004.98910000001</v>
      </c>
      <c r="Y174" s="116">
        <f>SUM(Y169:Y173)</f>
        <v>1776021.5710999996</v>
      </c>
    </row>
    <row r="175" spans="1:25" ht="13.5" thickTop="1" x14ac:dyDescent="0.2">
      <c r="A175" s="70" t="s">
        <v>192</v>
      </c>
      <c r="B175" s="70"/>
      <c r="C175" s="219" t="s">
        <v>193</v>
      </c>
      <c r="D175" s="71"/>
      <c r="E175" s="71"/>
      <c r="F175" s="71"/>
      <c r="G175" s="71"/>
      <c r="H175" s="71"/>
      <c r="J175" s="97"/>
      <c r="O175" s="80">
        <v>3.19</v>
      </c>
      <c r="P175" s="97"/>
    </row>
    <row r="176" spans="1:25" x14ac:dyDescent="0.2">
      <c r="A176" s="70"/>
      <c r="B176" s="71"/>
      <c r="C176" s="70"/>
      <c r="D176" s="71"/>
      <c r="E176" s="71"/>
      <c r="F176" s="71"/>
      <c r="G176" s="71"/>
      <c r="H176" s="71"/>
      <c r="L176" s="80">
        <v>3.19</v>
      </c>
      <c r="O176" s="80">
        <v>0.38300000000000001</v>
      </c>
      <c r="P176" s="97"/>
      <c r="R176" s="122"/>
    </row>
    <row r="177" spans="1:25" x14ac:dyDescent="0.2">
      <c r="A177" s="220" t="s">
        <v>194</v>
      </c>
      <c r="B177" s="190"/>
      <c r="C177" s="220" t="s">
        <v>195</v>
      </c>
      <c r="D177" s="71"/>
      <c r="E177" s="71"/>
      <c r="F177" s="71"/>
      <c r="G177" s="71"/>
      <c r="H177" s="71"/>
      <c r="L177" s="80">
        <v>0.38300000000000001</v>
      </c>
      <c r="O177" s="97">
        <f>O174+O175+O176</f>
        <v>56.862304499999993</v>
      </c>
    </row>
    <row r="178" spans="1:25" x14ac:dyDescent="0.2">
      <c r="A178" s="70" t="s">
        <v>196</v>
      </c>
      <c r="B178" s="71"/>
      <c r="C178" s="70" t="s">
        <v>197</v>
      </c>
      <c r="D178" s="71"/>
      <c r="E178" s="71"/>
      <c r="F178" s="71"/>
      <c r="G178" s="71"/>
      <c r="H178" s="71"/>
      <c r="O178" s="97">
        <v>-58.1</v>
      </c>
    </row>
    <row r="179" spans="1:25" x14ac:dyDescent="0.2">
      <c r="A179" s="73" t="s">
        <v>64</v>
      </c>
      <c r="B179" s="73"/>
      <c r="C179" s="73"/>
      <c r="D179" s="73"/>
      <c r="E179" s="73"/>
      <c r="F179" s="73"/>
      <c r="G179" s="73"/>
      <c r="H179" s="73"/>
    </row>
    <row r="180" spans="1:25" x14ac:dyDescent="0.2">
      <c r="A180" s="73" t="s">
        <v>0</v>
      </c>
      <c r="B180" s="73"/>
      <c r="C180" s="73"/>
      <c r="D180" s="73"/>
      <c r="E180" s="73"/>
      <c r="F180" s="73"/>
      <c r="G180" s="73"/>
      <c r="H180" s="73"/>
    </row>
    <row r="181" spans="1:25" x14ac:dyDescent="0.2">
      <c r="A181" s="73"/>
      <c r="B181" s="73"/>
      <c r="C181" s="73"/>
      <c r="D181" s="73"/>
      <c r="E181" s="73"/>
      <c r="F181" s="73"/>
      <c r="G181" s="73"/>
      <c r="H181" s="73"/>
    </row>
    <row r="182" spans="1:25" x14ac:dyDescent="0.2">
      <c r="A182" s="221" t="s">
        <v>60</v>
      </c>
      <c r="B182" s="73"/>
      <c r="C182" s="73"/>
      <c r="D182" s="73"/>
      <c r="E182" s="73"/>
      <c r="F182" s="73"/>
      <c r="G182" s="73"/>
      <c r="H182" s="73"/>
      <c r="W182" s="34" t="s">
        <v>143</v>
      </c>
      <c r="X182" s="34" t="s">
        <v>144</v>
      </c>
      <c r="Y182" s="34" t="s">
        <v>1</v>
      </c>
    </row>
    <row r="183" spans="1:25" x14ac:dyDescent="0.2">
      <c r="A183" s="222" t="s">
        <v>57</v>
      </c>
      <c r="B183" s="73"/>
      <c r="C183" s="73"/>
      <c r="D183" s="73"/>
      <c r="E183" s="73"/>
      <c r="F183" s="73"/>
      <c r="G183" s="73"/>
      <c r="H183" s="73"/>
      <c r="W183" s="83" t="s">
        <v>145</v>
      </c>
      <c r="X183" s="83" t="s">
        <v>145</v>
      </c>
      <c r="Y183" s="83" t="s">
        <v>145</v>
      </c>
    </row>
    <row r="184" spans="1:25" x14ac:dyDescent="0.2">
      <c r="A184" s="222"/>
      <c r="B184" s="73"/>
      <c r="C184" s="73"/>
      <c r="D184" s="73"/>
      <c r="E184" s="73"/>
      <c r="F184" s="73"/>
      <c r="G184" s="73"/>
      <c r="H184" s="73"/>
      <c r="L184" s="84" t="s">
        <v>146</v>
      </c>
      <c r="M184" s="73" t="s">
        <v>6</v>
      </c>
      <c r="N184" s="73"/>
      <c r="O184" s="84" t="s">
        <v>146</v>
      </c>
      <c r="P184" s="73" t="s">
        <v>6</v>
      </c>
      <c r="R184" s="85" t="s">
        <v>147</v>
      </c>
      <c r="S184" s="85" t="s">
        <v>147</v>
      </c>
      <c r="T184" s="85" t="s">
        <v>147</v>
      </c>
      <c r="U184" s="85" t="s">
        <v>147</v>
      </c>
      <c r="W184" s="86">
        <f>0.2*700</f>
        <v>140</v>
      </c>
      <c r="X184" s="86">
        <f>0.31*700</f>
        <v>217</v>
      </c>
      <c r="Y184" s="86">
        <f>0.37*2100</f>
        <v>777</v>
      </c>
    </row>
    <row r="185" spans="1:25" x14ac:dyDescent="0.2">
      <c r="A185" s="995"/>
      <c r="B185" s="996"/>
      <c r="C185" s="223" t="s">
        <v>6</v>
      </c>
      <c r="D185" s="997" t="s">
        <v>47</v>
      </c>
      <c r="E185" s="998"/>
      <c r="F185" s="999"/>
      <c r="G185" s="997" t="s">
        <v>13</v>
      </c>
      <c r="H185" s="999"/>
      <c r="I185" s="224" t="s">
        <v>6</v>
      </c>
      <c r="J185" s="223" t="s">
        <v>47</v>
      </c>
      <c r="K185" s="223" t="s">
        <v>13</v>
      </c>
      <c r="L185" s="80" t="s">
        <v>130</v>
      </c>
      <c r="M185" s="88" t="s">
        <v>148</v>
      </c>
      <c r="O185" s="80" t="s">
        <v>130</v>
      </c>
      <c r="P185" s="80" t="s">
        <v>130</v>
      </c>
      <c r="R185" s="80" t="s">
        <v>130</v>
      </c>
      <c r="S185" s="80" t="s">
        <v>130</v>
      </c>
      <c r="T185" s="80" t="s">
        <v>130</v>
      </c>
      <c r="U185" s="80" t="s">
        <v>130</v>
      </c>
      <c r="W185" s="89" t="s">
        <v>130</v>
      </c>
      <c r="X185" s="89" t="s">
        <v>130</v>
      </c>
      <c r="Y185" s="89" t="s">
        <v>130</v>
      </c>
    </row>
    <row r="186" spans="1:25" x14ac:dyDescent="0.2">
      <c r="A186" s="225" t="s">
        <v>149</v>
      </c>
      <c r="B186" s="73"/>
      <c r="C186" s="226"/>
      <c r="D186" s="226"/>
      <c r="E186" s="226"/>
      <c r="F186" s="226"/>
      <c r="G186" s="226"/>
      <c r="H186" s="227"/>
      <c r="J186" s="93"/>
      <c r="L186" s="93">
        <v>20</v>
      </c>
      <c r="M186" s="93">
        <v>20</v>
      </c>
      <c r="O186" s="93">
        <v>41</v>
      </c>
      <c r="P186" s="93">
        <v>101</v>
      </c>
      <c r="R186" s="93">
        <v>101</v>
      </c>
      <c r="S186" s="93">
        <v>4937</v>
      </c>
      <c r="T186" s="93">
        <v>667</v>
      </c>
      <c r="U186" s="93">
        <v>1004</v>
      </c>
      <c r="W186" s="94">
        <f>(0-929)*700</f>
        <v>-650300</v>
      </c>
      <c r="X186" s="94">
        <f>(0-1002)*700</f>
        <v>-701400</v>
      </c>
      <c r="Y186" s="94">
        <f>(0-2677)*2100</f>
        <v>-5621700</v>
      </c>
    </row>
    <row r="187" spans="1:25" x14ac:dyDescent="0.2">
      <c r="A187" s="228" t="s">
        <v>150</v>
      </c>
      <c r="B187" s="73" t="s">
        <v>135</v>
      </c>
      <c r="C187" s="229" t="e">
        <f>C191-C188-C189-C190</f>
        <v>#REF!</v>
      </c>
      <c r="D187" s="229"/>
      <c r="E187" s="229" t="e">
        <f>E191-E188-E189-E190</f>
        <v>#REF!</v>
      </c>
      <c r="F187" s="229"/>
      <c r="G187" s="229" t="e">
        <f>G191-G188-G189-G190</f>
        <v>#REF!</v>
      </c>
      <c r="H187" s="230"/>
      <c r="I187" s="30">
        <v>4.3851000000000004</v>
      </c>
      <c r="J187" s="30">
        <f>I187</f>
        <v>4.3851000000000004</v>
      </c>
      <c r="K187" s="30">
        <f>I187</f>
        <v>4.3851000000000004</v>
      </c>
      <c r="L187" s="80">
        <f>L186*(I187+I189+I190)</f>
        <v>99.822000000000003</v>
      </c>
      <c r="M187" s="80">
        <f>M186*(I187+I189+I190)</f>
        <v>99.822000000000003</v>
      </c>
      <c r="O187" s="80">
        <f>O186*(I187+I189+I190)</f>
        <v>204.63510000000002</v>
      </c>
      <c r="P187" s="80">
        <f>P186*(I187+I189+I190)</f>
        <v>504.10110000000003</v>
      </c>
      <c r="R187" s="80">
        <f>R186*(J187+J189+J190)</f>
        <v>504.10110000000003</v>
      </c>
      <c r="S187" s="80">
        <f>S186*(J187+J189+J190)</f>
        <v>24641.060700000002</v>
      </c>
      <c r="T187" s="80">
        <f>T186*(J187+J189+J190)</f>
        <v>3329.0637000000002</v>
      </c>
      <c r="U187" s="80">
        <f>U186*(J187+J189+J190)</f>
        <v>5011.0644000000002</v>
      </c>
      <c r="W187" s="97">
        <f>W186*(K187+K189+K190)</f>
        <v>-3245712.33</v>
      </c>
      <c r="X187" s="97">
        <f>X186*(K187+K189+K190)</f>
        <v>-3500757.54</v>
      </c>
      <c r="Y187" s="97">
        <f>Y186*(K187+K189+K190)</f>
        <v>-28058466.870000001</v>
      </c>
    </row>
    <row r="188" spans="1:25" x14ac:dyDescent="0.2">
      <c r="A188" s="228" t="s">
        <v>151</v>
      </c>
      <c r="B188" s="73" t="s">
        <v>135</v>
      </c>
      <c r="C188" s="229">
        <v>1.77E-2</v>
      </c>
      <c r="D188" s="229"/>
      <c r="E188" s="229">
        <v>1.77E-2</v>
      </c>
      <c r="F188" s="229"/>
      <c r="G188" s="229">
        <v>1.77E-2</v>
      </c>
      <c r="H188" s="231"/>
      <c r="I188" s="30">
        <v>1.77E-2</v>
      </c>
      <c r="J188" s="30">
        <v>1.77E-2</v>
      </c>
      <c r="K188" s="30">
        <v>1.77E-2</v>
      </c>
      <c r="L188" s="80">
        <f>L186*I188</f>
        <v>0.35399999999999998</v>
      </c>
      <c r="M188" s="80">
        <f>M186*I188</f>
        <v>0.35399999999999998</v>
      </c>
      <c r="O188" s="80">
        <f>O186*I188</f>
        <v>0.72570000000000001</v>
      </c>
      <c r="P188" s="80">
        <f>P186*I188</f>
        <v>1.7877000000000001</v>
      </c>
      <c r="R188" s="80">
        <f>R186*J188</f>
        <v>1.7877000000000001</v>
      </c>
      <c r="S188" s="80">
        <f>S186*J188</f>
        <v>87.384900000000002</v>
      </c>
      <c r="T188" s="80">
        <f>T186*J188</f>
        <v>11.805900000000001</v>
      </c>
      <c r="U188" s="80">
        <f>U186*J188</f>
        <v>17.770800000000001</v>
      </c>
      <c r="W188" s="97">
        <f>W186*K188</f>
        <v>-11510.31</v>
      </c>
      <c r="X188" s="97">
        <f>X186*K188</f>
        <v>-12414.78</v>
      </c>
      <c r="Y188" s="97">
        <f>Y186*K188</f>
        <v>-99504.09</v>
      </c>
    </row>
    <row r="189" spans="1:25" x14ac:dyDescent="0.2">
      <c r="A189" s="228" t="s">
        <v>152</v>
      </c>
      <c r="B189" s="73" t="s">
        <v>135</v>
      </c>
      <c r="C189" s="229">
        <v>0.48470000000000002</v>
      </c>
      <c r="D189" s="229"/>
      <c r="E189" s="229">
        <v>0.48470000000000002</v>
      </c>
      <c r="F189" s="229"/>
      <c r="G189" s="229">
        <v>0.48470000000000002</v>
      </c>
      <c r="H189" s="231"/>
      <c r="I189" s="30">
        <v>0.48470000000000002</v>
      </c>
      <c r="J189" s="30">
        <v>0.48470000000000002</v>
      </c>
      <c r="K189" s="30">
        <v>0.48470000000000002</v>
      </c>
      <c r="M189" s="80"/>
      <c r="O189" s="80"/>
      <c r="P189" s="80"/>
      <c r="R189" s="80"/>
      <c r="S189" s="80"/>
      <c r="T189" s="80"/>
      <c r="U189" s="80"/>
      <c r="W189" s="97"/>
      <c r="X189" s="97"/>
      <c r="Y189" s="97"/>
    </row>
    <row r="190" spans="1:25" x14ac:dyDescent="0.2">
      <c r="A190" s="228" t="s">
        <v>153</v>
      </c>
      <c r="B190" s="73" t="s">
        <v>135</v>
      </c>
      <c r="C190" s="229">
        <v>0.12130000000000001</v>
      </c>
      <c r="D190" s="229"/>
      <c r="E190" s="229">
        <v>0.12130000000000001</v>
      </c>
      <c r="F190" s="229"/>
      <c r="G190" s="229">
        <v>0.12130000000000001</v>
      </c>
      <c r="H190" s="231"/>
      <c r="I190" s="30">
        <v>0.12130000000000001</v>
      </c>
      <c r="J190" s="30">
        <v>0.12130000000000001</v>
      </c>
      <c r="K190" s="30">
        <v>0.12130000000000001</v>
      </c>
      <c r="M190" s="80"/>
      <c r="O190" s="80"/>
      <c r="P190" s="80"/>
      <c r="R190" s="80"/>
      <c r="S190" s="80"/>
      <c r="T190" s="80"/>
      <c r="U190" s="80"/>
      <c r="W190" s="97"/>
      <c r="X190" s="97"/>
      <c r="Y190" s="97"/>
    </row>
    <row r="191" spans="1:25" x14ac:dyDescent="0.2">
      <c r="A191" s="228" t="s">
        <v>154</v>
      </c>
      <c r="B191" s="73"/>
      <c r="C191" s="232" t="e">
        <f>#REF!</f>
        <v>#REF!</v>
      </c>
      <c r="D191" s="232"/>
      <c r="E191" s="232" t="e">
        <f>C191</f>
        <v>#REF!</v>
      </c>
      <c r="F191" s="232"/>
      <c r="G191" s="232" t="e">
        <f>C191</f>
        <v>#REF!</v>
      </c>
      <c r="H191" s="233"/>
      <c r="M191" s="80"/>
      <c r="O191" s="80"/>
      <c r="P191" s="80"/>
      <c r="R191" s="80"/>
      <c r="S191" s="80"/>
      <c r="T191" s="80"/>
      <c r="U191" s="80"/>
      <c r="W191" s="97"/>
      <c r="X191" s="97"/>
      <c r="Y191" s="97"/>
    </row>
    <row r="192" spans="1:25" x14ac:dyDescent="0.2">
      <c r="A192" s="225" t="s">
        <v>155</v>
      </c>
      <c r="B192" s="73" t="s">
        <v>135</v>
      </c>
      <c r="C192" s="229" t="e">
        <f>(-513856.64-28428.29)/#REF!</f>
        <v>#REF!</v>
      </c>
      <c r="D192" s="229"/>
      <c r="E192" s="229"/>
      <c r="F192" s="229"/>
      <c r="G192" s="229"/>
      <c r="H192" s="230"/>
      <c r="I192" s="64">
        <v>-0.20119999999999999</v>
      </c>
      <c r="J192" s="101"/>
      <c r="K192" s="101"/>
      <c r="L192" s="80">
        <f>L186*I192</f>
        <v>-4.024</v>
      </c>
      <c r="M192" s="80">
        <f>M186*I192</f>
        <v>-4.024</v>
      </c>
      <c r="O192" s="102">
        <f>O186*I192</f>
        <v>-8.2492000000000001</v>
      </c>
      <c r="P192" s="102">
        <f>P186*I192</f>
        <v>-20.321199999999997</v>
      </c>
      <c r="R192" s="102">
        <f>R186*J192</f>
        <v>0</v>
      </c>
      <c r="S192" s="102">
        <f>S186*K192</f>
        <v>0</v>
      </c>
      <c r="T192" s="102">
        <f>T186*J192</f>
        <v>0</v>
      </c>
      <c r="U192" s="102">
        <f>U186*J192</f>
        <v>0</v>
      </c>
      <c r="W192" s="103">
        <f>W186*K192</f>
        <v>0</v>
      </c>
      <c r="X192" s="103">
        <f>X186*K192</f>
        <v>0</v>
      </c>
      <c r="Y192" s="103">
        <f>Y186*K192</f>
        <v>0</v>
      </c>
    </row>
    <row r="193" spans="1:25" x14ac:dyDescent="0.2">
      <c r="A193" s="225" t="s">
        <v>156</v>
      </c>
      <c r="B193" s="73"/>
      <c r="C193" s="229"/>
      <c r="D193" s="229"/>
      <c r="E193" s="229"/>
      <c r="F193" s="229"/>
      <c r="G193" s="229"/>
      <c r="H193" s="230"/>
      <c r="M193" s="80"/>
      <c r="O193" s="80"/>
      <c r="P193" s="80"/>
      <c r="R193" s="80"/>
      <c r="S193" s="80"/>
      <c r="T193" s="80"/>
      <c r="U193" s="80"/>
      <c r="W193" s="97"/>
      <c r="X193" s="97"/>
      <c r="Y193" s="97"/>
    </row>
    <row r="194" spans="1:25" x14ac:dyDescent="0.2">
      <c r="A194" s="228" t="s">
        <v>157</v>
      </c>
      <c r="B194" s="73" t="s">
        <v>158</v>
      </c>
      <c r="C194" s="229"/>
      <c r="D194" s="229"/>
      <c r="E194" s="229"/>
      <c r="F194" s="229"/>
      <c r="G194" s="229" t="e">
        <f>#REF!</f>
        <v>#REF!</v>
      </c>
      <c r="H194" s="231"/>
      <c r="K194" s="64">
        <v>259.02280000000002</v>
      </c>
      <c r="M194" s="80"/>
      <c r="O194" s="80"/>
      <c r="P194" s="80"/>
      <c r="R194" s="80"/>
      <c r="S194" s="80"/>
      <c r="T194" s="80"/>
      <c r="U194" s="80"/>
      <c r="W194" s="104">
        <f>W184*K194</f>
        <v>36263.192000000003</v>
      </c>
      <c r="X194" s="97">
        <f>X184*K194</f>
        <v>56207.947600000007</v>
      </c>
      <c r="Y194" s="97">
        <f>Y184*K194</f>
        <v>201260.71560000003</v>
      </c>
    </row>
    <row r="195" spans="1:25" x14ac:dyDescent="0.2">
      <c r="A195" s="228" t="s">
        <v>159</v>
      </c>
      <c r="B195" s="73" t="s">
        <v>135</v>
      </c>
      <c r="C195" s="229" t="e">
        <f>#REF!</f>
        <v>#REF!</v>
      </c>
      <c r="D195" s="229"/>
      <c r="E195" s="229" t="e">
        <f>#REF!</f>
        <v>#REF!</v>
      </c>
      <c r="F195" s="229"/>
      <c r="G195" s="229"/>
      <c r="H195" s="231"/>
      <c r="I195" s="30">
        <v>0.73180000000000001</v>
      </c>
      <c r="J195" s="64">
        <v>0.75449999999999995</v>
      </c>
      <c r="L195" s="80">
        <f>L186*I195</f>
        <v>14.635999999999999</v>
      </c>
      <c r="M195" s="80">
        <f>M186*I195</f>
        <v>14.635999999999999</v>
      </c>
      <c r="O195" s="80">
        <f>O186*I195</f>
        <v>30.003800000000002</v>
      </c>
      <c r="P195" s="80">
        <f>P186*I195</f>
        <v>73.911799999999999</v>
      </c>
      <c r="R195" s="80">
        <f>R186*J195</f>
        <v>76.204499999999996</v>
      </c>
      <c r="S195" s="80">
        <f>S186*J195</f>
        <v>3724.9664999999995</v>
      </c>
      <c r="T195" s="80">
        <f>T186*J195</f>
        <v>503.25149999999996</v>
      </c>
      <c r="U195" s="80">
        <f>U186*J195</f>
        <v>757.51799999999992</v>
      </c>
      <c r="W195" s="97">
        <f>W186*K195</f>
        <v>0</v>
      </c>
      <c r="X195" s="97">
        <f>X186*K195</f>
        <v>0</v>
      </c>
      <c r="Y195" s="97">
        <f>Y186*K195</f>
        <v>0</v>
      </c>
    </row>
    <row r="196" spans="1:25" x14ac:dyDescent="0.2">
      <c r="A196" s="225" t="s">
        <v>160</v>
      </c>
      <c r="B196" s="73" t="s">
        <v>135</v>
      </c>
      <c r="C196" s="229" t="e">
        <f>#REF!</f>
        <v>#REF!</v>
      </c>
      <c r="D196" s="229"/>
      <c r="E196" s="229" t="e">
        <f>#REF!</f>
        <v>#REF!</v>
      </c>
      <c r="F196" s="229"/>
      <c r="G196" s="229" t="e">
        <f>#REF!</f>
        <v>#REF!</v>
      </c>
      <c r="H196" s="231"/>
      <c r="I196" s="30">
        <v>0.71189999999999998</v>
      </c>
      <c r="J196" s="30">
        <v>0.7147</v>
      </c>
      <c r="K196" s="30">
        <v>0.75229999999999997</v>
      </c>
      <c r="L196" s="80">
        <f>L186*I196</f>
        <v>14.238</v>
      </c>
      <c r="M196" s="80">
        <f>M186*I196</f>
        <v>14.238</v>
      </c>
      <c r="O196" s="80">
        <f>O186*I196</f>
        <v>29.187899999999999</v>
      </c>
      <c r="P196" s="80">
        <f>P186*I196</f>
        <v>71.901899999999998</v>
      </c>
      <c r="R196" s="80">
        <f>R186*J196</f>
        <v>72.184700000000007</v>
      </c>
      <c r="S196" s="80">
        <f>S186*J196</f>
        <v>3528.4739</v>
      </c>
      <c r="T196" s="80">
        <f>T186*J196</f>
        <v>476.70490000000001</v>
      </c>
      <c r="U196" s="80">
        <f>U186*J196</f>
        <v>717.55880000000002</v>
      </c>
      <c r="W196" s="97">
        <f>W186*K196</f>
        <v>-489220.69</v>
      </c>
      <c r="X196" s="97">
        <f>X186*K196</f>
        <v>-527663.22</v>
      </c>
      <c r="Y196" s="97">
        <f>Y186*K196</f>
        <v>-4229204.91</v>
      </c>
    </row>
    <row r="197" spans="1:25" x14ac:dyDescent="0.2">
      <c r="A197" s="228"/>
      <c r="B197" s="73"/>
      <c r="C197" s="229"/>
      <c r="D197" s="229"/>
      <c r="E197" s="229"/>
      <c r="F197" s="229"/>
      <c r="G197" s="229"/>
      <c r="H197" s="231"/>
      <c r="M197" s="80"/>
      <c r="O197" s="80"/>
      <c r="P197" s="80"/>
      <c r="R197" s="80"/>
      <c r="S197" s="80"/>
      <c r="T197" s="80"/>
      <c r="U197" s="80"/>
      <c r="W197" s="97"/>
      <c r="X197" s="97"/>
      <c r="Y197" s="97"/>
    </row>
    <row r="198" spans="1:25" x14ac:dyDescent="0.2">
      <c r="A198" s="225" t="s">
        <v>161</v>
      </c>
      <c r="B198" s="73"/>
      <c r="C198" s="229"/>
      <c r="D198" s="229"/>
      <c r="E198" s="229"/>
      <c r="F198" s="229"/>
      <c r="G198" s="229"/>
      <c r="H198" s="231"/>
      <c r="M198" s="80"/>
      <c r="O198" s="80"/>
      <c r="P198" s="80"/>
      <c r="R198" s="80"/>
      <c r="S198" s="80"/>
      <c r="T198" s="80"/>
      <c r="U198" s="80"/>
      <c r="W198" s="97"/>
      <c r="X198" s="97"/>
      <c r="Y198" s="97"/>
    </row>
    <row r="199" spans="1:25" x14ac:dyDescent="0.2">
      <c r="A199" s="228" t="s">
        <v>162</v>
      </c>
      <c r="B199" s="73" t="s">
        <v>158</v>
      </c>
      <c r="C199" s="229"/>
      <c r="D199" s="229"/>
      <c r="E199" s="229"/>
      <c r="F199" s="229"/>
      <c r="G199" s="229">
        <v>267.89999999999998</v>
      </c>
      <c r="H199" s="231"/>
      <c r="K199" s="101">
        <v>267.89999999999998</v>
      </c>
      <c r="M199" s="80"/>
      <c r="O199" s="80"/>
      <c r="P199" s="80"/>
      <c r="R199" s="80"/>
      <c r="S199" s="80"/>
      <c r="T199" s="80"/>
      <c r="U199" s="80"/>
      <c r="W199" s="104">
        <f>W184*K199</f>
        <v>37506</v>
      </c>
      <c r="X199" s="104">
        <f>X184*K199</f>
        <v>58134.299999999996</v>
      </c>
      <c r="Y199" s="104">
        <f>Y184*K199</f>
        <v>208158.3</v>
      </c>
    </row>
    <row r="200" spans="1:25" x14ac:dyDescent="0.2">
      <c r="A200" s="228" t="s">
        <v>163</v>
      </c>
      <c r="B200" s="73" t="s">
        <v>135</v>
      </c>
      <c r="C200" s="229">
        <v>0.84489999999999998</v>
      </c>
      <c r="D200" s="234"/>
      <c r="E200" s="234">
        <v>0.92589999999999995</v>
      </c>
      <c r="F200" s="229"/>
      <c r="G200" s="229"/>
      <c r="H200" s="231"/>
      <c r="I200" s="30">
        <v>0.84489999999999998</v>
      </c>
      <c r="J200" s="30">
        <v>0.92589999999999995</v>
      </c>
      <c r="L200" s="80">
        <f>L186*I200</f>
        <v>16.898</v>
      </c>
      <c r="M200" s="80">
        <f>M186*I200</f>
        <v>16.898</v>
      </c>
      <c r="O200" s="102">
        <f>O186*I200</f>
        <v>34.640900000000002</v>
      </c>
      <c r="P200" s="102">
        <f>P186*I200</f>
        <v>85.334900000000005</v>
      </c>
      <c r="R200" s="102">
        <f>R186*J200</f>
        <v>93.515899999999988</v>
      </c>
      <c r="S200" s="102">
        <f>S186*J200</f>
        <v>4571.1682999999994</v>
      </c>
      <c r="T200" s="102">
        <f>T186*J200</f>
        <v>617.57529999999997</v>
      </c>
      <c r="U200" s="102">
        <f>U186*J200</f>
        <v>929.60359999999991</v>
      </c>
      <c r="W200" s="103">
        <f>W186*K200</f>
        <v>0</v>
      </c>
      <c r="X200" s="103">
        <f>X186*K200</f>
        <v>0</v>
      </c>
      <c r="Y200" s="103">
        <f>Y186*K200</f>
        <v>0</v>
      </c>
    </row>
    <row r="201" spans="1:25" x14ac:dyDescent="0.2">
      <c r="A201" s="225" t="s">
        <v>164</v>
      </c>
      <c r="B201" s="73"/>
      <c r="C201" s="229"/>
      <c r="D201" s="234"/>
      <c r="E201" s="229"/>
      <c r="F201" s="229"/>
      <c r="G201" s="229"/>
      <c r="H201" s="231"/>
      <c r="M201" s="80"/>
      <c r="O201" s="102"/>
      <c r="P201" s="102"/>
      <c r="R201" s="102"/>
      <c r="S201" s="102"/>
      <c r="T201" s="102"/>
      <c r="U201" s="102"/>
      <c r="W201" s="103"/>
      <c r="X201" s="103"/>
      <c r="Y201" s="103"/>
    </row>
    <row r="202" spans="1:25" x14ac:dyDescent="0.2">
      <c r="A202" s="228" t="s">
        <v>165</v>
      </c>
      <c r="B202" s="73" t="s">
        <v>166</v>
      </c>
      <c r="C202" s="229"/>
      <c r="D202" s="234"/>
      <c r="E202" s="234">
        <v>40.15</v>
      </c>
      <c r="F202" s="229"/>
      <c r="G202" s="234">
        <v>40.15</v>
      </c>
      <c r="H202" s="231"/>
      <c r="J202" s="30">
        <v>40.15</v>
      </c>
      <c r="K202" s="30">
        <v>40.15</v>
      </c>
      <c r="M202" s="80"/>
      <c r="O202" s="102"/>
      <c r="P202" s="102"/>
      <c r="R202" s="103">
        <f>G202</f>
        <v>40.15</v>
      </c>
      <c r="S202" s="103">
        <f>G202</f>
        <v>40.15</v>
      </c>
      <c r="T202" s="103">
        <f>S202</f>
        <v>40.15</v>
      </c>
      <c r="U202" s="103">
        <f>S202</f>
        <v>40.15</v>
      </c>
      <c r="W202" s="103">
        <f>G202</f>
        <v>40.15</v>
      </c>
      <c r="X202" s="103">
        <f>W202</f>
        <v>40.15</v>
      </c>
      <c r="Y202" s="103">
        <f>W202</f>
        <v>40.15</v>
      </c>
    </row>
    <row r="203" spans="1:25" x14ac:dyDescent="0.2">
      <c r="A203" s="228" t="s">
        <v>167</v>
      </c>
      <c r="B203" s="73" t="s">
        <v>135</v>
      </c>
      <c r="C203" s="229">
        <v>0.7732</v>
      </c>
      <c r="D203" s="234"/>
      <c r="E203" s="229"/>
      <c r="F203" s="229"/>
      <c r="G203" s="229"/>
      <c r="H203" s="231"/>
      <c r="I203" s="30">
        <v>0.7732</v>
      </c>
      <c r="L203" s="80">
        <f>L186*I203</f>
        <v>15.464</v>
      </c>
      <c r="M203" s="80">
        <f>M186*I203</f>
        <v>15.464</v>
      </c>
      <c r="O203" s="102">
        <f>O186*I203</f>
        <v>31.7012</v>
      </c>
      <c r="P203" s="102">
        <f>P186*I203</f>
        <v>78.093199999999996</v>
      </c>
      <c r="R203" s="102">
        <f>R186*J203</f>
        <v>0</v>
      </c>
      <c r="S203" s="102">
        <f>S186*K203</f>
        <v>0</v>
      </c>
      <c r="T203" s="102">
        <f>T186*J203</f>
        <v>0</v>
      </c>
      <c r="U203" s="102">
        <f>U186*J203</f>
        <v>0</v>
      </c>
      <c r="W203" s="103">
        <f>W186*K203</f>
        <v>0</v>
      </c>
      <c r="X203" s="103">
        <f>X186*K203</f>
        <v>0</v>
      </c>
      <c r="Y203" s="103">
        <f>Y186*K203</f>
        <v>0</v>
      </c>
    </row>
    <row r="204" spans="1:25" x14ac:dyDescent="0.2">
      <c r="A204" s="225" t="s">
        <v>168</v>
      </c>
      <c r="B204" s="73"/>
      <c r="C204" s="73"/>
      <c r="D204" s="234"/>
      <c r="E204" s="73"/>
      <c r="F204" s="73"/>
      <c r="G204" s="73"/>
      <c r="H204" s="231"/>
      <c r="M204" s="80"/>
      <c r="O204" s="102"/>
      <c r="P204" s="102"/>
      <c r="R204" s="102"/>
      <c r="S204" s="102"/>
      <c r="T204" s="102"/>
      <c r="U204" s="102"/>
      <c r="W204" s="103"/>
      <c r="X204" s="103"/>
      <c r="Y204" s="103"/>
    </row>
    <row r="205" spans="1:25" x14ac:dyDescent="0.2">
      <c r="A205" s="228" t="s">
        <v>169</v>
      </c>
      <c r="B205" s="73" t="s">
        <v>170</v>
      </c>
      <c r="C205" s="229">
        <v>5</v>
      </c>
      <c r="D205" s="234"/>
      <c r="E205" s="234">
        <v>28.72</v>
      </c>
      <c r="F205" s="73"/>
      <c r="G205" s="234">
        <v>28.72</v>
      </c>
      <c r="H205" s="231"/>
      <c r="I205" s="101">
        <v>5</v>
      </c>
      <c r="J205" s="30">
        <v>28.72</v>
      </c>
      <c r="K205" s="30">
        <v>28.72</v>
      </c>
      <c r="L205" s="80">
        <v>5</v>
      </c>
      <c r="M205" s="80">
        <v>5</v>
      </c>
      <c r="O205" s="102">
        <v>5</v>
      </c>
      <c r="P205" s="102">
        <v>5</v>
      </c>
      <c r="R205" s="103">
        <f>G205</f>
        <v>28.72</v>
      </c>
      <c r="S205" s="103">
        <f>G205</f>
        <v>28.72</v>
      </c>
      <c r="T205" s="103">
        <f>S205</f>
        <v>28.72</v>
      </c>
      <c r="U205" s="103">
        <f>S205</f>
        <v>28.72</v>
      </c>
      <c r="W205" s="103">
        <f>G205</f>
        <v>28.72</v>
      </c>
      <c r="X205" s="103">
        <f>W205</f>
        <v>28.72</v>
      </c>
      <c r="Y205" s="103">
        <f>W205</f>
        <v>28.72</v>
      </c>
    </row>
    <row r="206" spans="1:25" x14ac:dyDescent="0.2">
      <c r="A206" s="228" t="s">
        <v>171</v>
      </c>
      <c r="B206" s="73" t="s">
        <v>135</v>
      </c>
      <c r="C206" s="229">
        <v>0.45689999999999997</v>
      </c>
      <c r="D206" s="229"/>
      <c r="E206" s="229"/>
      <c r="F206" s="229"/>
      <c r="G206" s="229"/>
      <c r="H206" s="231"/>
      <c r="I206" s="30">
        <v>0.45689999999999997</v>
      </c>
      <c r="L206" s="80">
        <f>L186*I206</f>
        <v>9.1379999999999999</v>
      </c>
      <c r="M206" s="80">
        <f>M186*I206</f>
        <v>9.1379999999999999</v>
      </c>
      <c r="O206" s="102">
        <f>O186*I206</f>
        <v>18.732899999999997</v>
      </c>
      <c r="P206" s="102">
        <f>P186*I206</f>
        <v>46.146899999999995</v>
      </c>
      <c r="R206" s="102"/>
      <c r="S206" s="102"/>
      <c r="T206" s="102"/>
      <c r="U206" s="102"/>
      <c r="W206" s="103"/>
      <c r="X206" s="103"/>
      <c r="Y206" s="103"/>
    </row>
    <row r="207" spans="1:25" x14ac:dyDescent="0.2">
      <c r="A207" s="225" t="s">
        <v>172</v>
      </c>
      <c r="B207" s="73" t="s">
        <v>135</v>
      </c>
      <c r="C207" s="229" t="e">
        <f>#REF!</f>
        <v>#REF!</v>
      </c>
      <c r="D207" s="234"/>
      <c r="E207" s="234" t="e">
        <f>C207</f>
        <v>#REF!</v>
      </c>
      <c r="F207" s="234"/>
      <c r="G207" s="234" t="e">
        <f>C207</f>
        <v>#REF!</v>
      </c>
      <c r="H207" s="231"/>
      <c r="I207" s="64">
        <v>9.1499999999999998E-2</v>
      </c>
      <c r="J207" s="64">
        <f>I207</f>
        <v>9.1499999999999998E-2</v>
      </c>
      <c r="K207" s="64">
        <f>I207</f>
        <v>9.1499999999999998E-2</v>
      </c>
      <c r="L207" s="80">
        <f>-(L187+L188+L195+L196+L200+L203+L205+L206)*25%</f>
        <v>-43.887500000000003</v>
      </c>
      <c r="M207" s="80">
        <f>-(M187+M188+M195+M196+M200+M203+M205+M206)*5%</f>
        <v>-8.7775000000000016</v>
      </c>
      <c r="O207" s="102">
        <f>O186*I207</f>
        <v>3.7515000000000001</v>
      </c>
      <c r="P207" s="102">
        <f>P186*I207</f>
        <v>9.2415000000000003</v>
      </c>
      <c r="R207" s="102">
        <f>R186*J207</f>
        <v>9.2415000000000003</v>
      </c>
      <c r="S207" s="102">
        <f>S186*J207</f>
        <v>451.7355</v>
      </c>
      <c r="T207" s="102">
        <f>T186*J207</f>
        <v>61.030499999999996</v>
      </c>
      <c r="U207" s="102">
        <f>U186*J207</f>
        <v>91.866</v>
      </c>
      <c r="W207" s="103">
        <f>W186*K207</f>
        <v>-59502.45</v>
      </c>
      <c r="X207" s="103">
        <f>X186*K207</f>
        <v>-64178.1</v>
      </c>
      <c r="Y207" s="103">
        <f>Y186*K207</f>
        <v>-514385.55</v>
      </c>
    </row>
    <row r="208" spans="1:25" x14ac:dyDescent="0.2">
      <c r="A208" s="225" t="s">
        <v>173</v>
      </c>
      <c r="B208" s="73"/>
      <c r="C208" s="229" t="e">
        <f>#REF!</f>
        <v>#REF!</v>
      </c>
      <c r="D208" s="234"/>
      <c r="E208" s="234" t="e">
        <f>C208</f>
        <v>#REF!</v>
      </c>
      <c r="F208" s="234"/>
      <c r="G208" s="234" t="e">
        <f>C208</f>
        <v>#REF!</v>
      </c>
      <c r="H208" s="231"/>
      <c r="I208" s="30">
        <v>1.4E-3</v>
      </c>
      <c r="J208" s="64">
        <f>I208</f>
        <v>1.4E-3</v>
      </c>
      <c r="K208" s="64">
        <f>I208</f>
        <v>1.4E-3</v>
      </c>
      <c r="L208" s="80">
        <f>-(L187+L188+L195+L196+L200+L203+L205+L206+L207)*5%</f>
        <v>-6.5831250000000017</v>
      </c>
      <c r="M208" s="107">
        <f>M186*I208</f>
        <v>2.8000000000000001E-2</v>
      </c>
      <c r="O208" s="80">
        <f>-(O187+O188+O195+O196+O200+O203+O205+O206+O207)*5%</f>
        <v>-17.918949999999999</v>
      </c>
      <c r="P208" s="107">
        <f>P186*I208</f>
        <v>0.1414</v>
      </c>
      <c r="R208" s="107">
        <f>R186*K208</f>
        <v>0.1414</v>
      </c>
      <c r="S208" s="107">
        <f>S186*J208</f>
        <v>6.9117999999999995</v>
      </c>
      <c r="T208" s="107">
        <f>T186*J208</f>
        <v>0.93379999999999996</v>
      </c>
      <c r="U208" s="107">
        <f>U186*J208</f>
        <v>1.4056</v>
      </c>
      <c r="W208" s="104">
        <f>W186*K208</f>
        <v>-910.42</v>
      </c>
      <c r="X208" s="104">
        <f>X186*K208</f>
        <v>-981.96</v>
      </c>
      <c r="Y208" s="104">
        <f>Y186*K208</f>
        <v>-7870.38</v>
      </c>
    </row>
    <row r="209" spans="1:25" x14ac:dyDescent="0.2">
      <c r="A209" s="225" t="s">
        <v>174</v>
      </c>
      <c r="B209" s="73"/>
      <c r="C209" s="229"/>
      <c r="D209" s="229"/>
      <c r="E209" s="229"/>
      <c r="F209" s="229"/>
      <c r="G209" s="229"/>
      <c r="H209" s="231"/>
      <c r="M209" s="80"/>
      <c r="O209" s="80"/>
      <c r="P209" s="80"/>
      <c r="R209" s="80"/>
      <c r="S209" s="80"/>
      <c r="T209" s="80"/>
      <c r="U209" s="80"/>
      <c r="W209" s="97"/>
      <c r="X209" s="97"/>
      <c r="Y209" s="97"/>
    </row>
    <row r="210" spans="1:25" x14ac:dyDescent="0.2">
      <c r="A210" s="228" t="s">
        <v>175</v>
      </c>
      <c r="B210" s="73" t="s">
        <v>135</v>
      </c>
      <c r="C210" s="229">
        <f>0.1163</f>
        <v>0.1163</v>
      </c>
      <c r="D210" s="229"/>
      <c r="E210" s="229">
        <f>C210</f>
        <v>0.1163</v>
      </c>
      <c r="F210" s="229"/>
      <c r="G210" s="229">
        <f>C210</f>
        <v>0.1163</v>
      </c>
      <c r="H210" s="235"/>
      <c r="I210" s="30">
        <v>0.1163</v>
      </c>
      <c r="J210" s="64">
        <f>I210</f>
        <v>0.1163</v>
      </c>
      <c r="K210" s="64">
        <f>I210</f>
        <v>0.1163</v>
      </c>
      <c r="L210" s="80">
        <f>L186*I210</f>
        <v>2.3260000000000001</v>
      </c>
      <c r="M210" s="80">
        <f>M186*I210</f>
        <v>2.3260000000000001</v>
      </c>
      <c r="O210" s="80">
        <f>O186*I210</f>
        <v>4.7683</v>
      </c>
      <c r="P210" s="80">
        <f>P186*I210</f>
        <v>11.7463</v>
      </c>
      <c r="R210" s="80">
        <f>R186*J210</f>
        <v>11.7463</v>
      </c>
      <c r="S210" s="80">
        <f>S186*J210</f>
        <v>574.17309999999998</v>
      </c>
      <c r="T210" s="80">
        <f>T186*J210</f>
        <v>77.572100000000006</v>
      </c>
      <c r="U210" s="80">
        <f>U186*J210</f>
        <v>116.76520000000001</v>
      </c>
      <c r="W210" s="97">
        <f>W186*K210</f>
        <v>-75629.89</v>
      </c>
      <c r="X210" s="97">
        <f>X186*K210</f>
        <v>-81572.820000000007</v>
      </c>
      <c r="Y210" s="97">
        <f>Y186*K210</f>
        <v>-653803.71</v>
      </c>
    </row>
    <row r="211" spans="1:25" x14ac:dyDescent="0.2">
      <c r="A211" s="228" t="s">
        <v>176</v>
      </c>
      <c r="B211" s="73" t="s">
        <v>135</v>
      </c>
      <c r="C211" s="229">
        <v>2.5000000000000001E-3</v>
      </c>
      <c r="D211" s="229"/>
      <c r="E211" s="229">
        <v>2.5000000000000001E-3</v>
      </c>
      <c r="F211" s="229"/>
      <c r="G211" s="234">
        <f>C211</f>
        <v>2.5000000000000001E-3</v>
      </c>
      <c r="H211" s="231"/>
      <c r="I211" s="30">
        <v>2.5000000000000001E-3</v>
      </c>
      <c r="J211" s="64">
        <f>I211</f>
        <v>2.5000000000000001E-3</v>
      </c>
      <c r="K211" s="64">
        <f>I211</f>
        <v>2.5000000000000001E-3</v>
      </c>
      <c r="L211" s="80">
        <f>$L$141*I211</f>
        <v>1.7500000000000002E-2</v>
      </c>
      <c r="M211" s="80">
        <f>M186*I211</f>
        <v>0.05</v>
      </c>
      <c r="O211" s="80">
        <f>O186*I211</f>
        <v>0.10250000000000001</v>
      </c>
      <c r="P211" s="80">
        <f>P186*I211</f>
        <v>0.2525</v>
      </c>
      <c r="R211" s="80">
        <f>R186*J211</f>
        <v>0.2525</v>
      </c>
      <c r="S211" s="80">
        <f>S186*J211</f>
        <v>12.342500000000001</v>
      </c>
      <c r="T211" s="80">
        <f>T186*J211</f>
        <v>1.6675</v>
      </c>
      <c r="U211" s="80">
        <f>U186*J211</f>
        <v>2.5100000000000002</v>
      </c>
      <c r="W211" s="97">
        <f>W186*K211</f>
        <v>-1625.75</v>
      </c>
      <c r="X211" s="97">
        <f>X186*K211</f>
        <v>-1753.5</v>
      </c>
      <c r="Y211" s="97">
        <f>Y186*K211</f>
        <v>-14054.25</v>
      </c>
    </row>
    <row r="212" spans="1:25" x14ac:dyDescent="0.2">
      <c r="A212" s="228" t="s">
        <v>200</v>
      </c>
      <c r="B212" s="73" t="s">
        <v>135</v>
      </c>
      <c r="C212" s="229">
        <f>0.1938</f>
        <v>0.1938</v>
      </c>
      <c r="D212" s="229"/>
      <c r="E212" s="229">
        <f>C212</f>
        <v>0.1938</v>
      </c>
      <c r="F212" s="229"/>
      <c r="G212" s="234">
        <f>C212</f>
        <v>0.1938</v>
      </c>
      <c r="H212" s="235" t="s">
        <v>201</v>
      </c>
      <c r="I212" s="30">
        <v>0.1938</v>
      </c>
      <c r="J212" s="64">
        <f>I212</f>
        <v>0.1938</v>
      </c>
      <c r="K212" s="64">
        <f>I212</f>
        <v>0.1938</v>
      </c>
      <c r="L212" s="80">
        <f>$L$141*I212</f>
        <v>1.3566</v>
      </c>
      <c r="M212" s="80">
        <f>M186*I212</f>
        <v>3.8759999999999999</v>
      </c>
      <c r="O212" s="80">
        <f>O186*I212</f>
        <v>7.9458000000000002</v>
      </c>
      <c r="P212" s="80">
        <f>P186*I212</f>
        <v>19.573799999999999</v>
      </c>
      <c r="R212" s="80">
        <f>R186*J212</f>
        <v>19.573799999999999</v>
      </c>
      <c r="S212" s="80">
        <f>S186*J212</f>
        <v>956.79060000000004</v>
      </c>
      <c r="T212" s="80">
        <f>T186*J212</f>
        <v>129.2646</v>
      </c>
      <c r="U212" s="80">
        <f>U186*J212</f>
        <v>194.5752</v>
      </c>
      <c r="W212" s="97">
        <f>W186*K212</f>
        <v>-126028.14</v>
      </c>
      <c r="X212" s="97">
        <f>X186*K212</f>
        <v>-135931.32</v>
      </c>
      <c r="Y212" s="97">
        <f>Y186*K212</f>
        <v>-1089485.46</v>
      </c>
    </row>
    <row r="213" spans="1:25" x14ac:dyDescent="0.2">
      <c r="A213" s="236" t="s">
        <v>177</v>
      </c>
      <c r="B213" s="237" t="s">
        <v>135</v>
      </c>
      <c r="C213" s="238">
        <v>0.40039999999999998</v>
      </c>
      <c r="D213" s="238"/>
      <c r="E213" s="238">
        <v>0.40039999999999998</v>
      </c>
      <c r="F213" s="238"/>
      <c r="G213" s="239">
        <f>C213</f>
        <v>0.40039999999999998</v>
      </c>
      <c r="H213" s="240"/>
      <c r="I213" s="30">
        <v>0.40039999999999998</v>
      </c>
      <c r="J213" s="64">
        <f>I213</f>
        <v>0.40039999999999998</v>
      </c>
      <c r="K213" s="64">
        <f>I213</f>
        <v>0.40039999999999998</v>
      </c>
      <c r="L213" s="80">
        <f>L186*I213</f>
        <v>8.0079999999999991</v>
      </c>
      <c r="M213" s="80">
        <f>M186*I213</f>
        <v>8.0079999999999991</v>
      </c>
      <c r="O213" s="80">
        <f>O186*I213</f>
        <v>16.416399999999999</v>
      </c>
      <c r="P213" s="80">
        <f>P186*I213</f>
        <v>40.440399999999997</v>
      </c>
      <c r="R213" s="80">
        <f>R186*J213</f>
        <v>40.440399999999997</v>
      </c>
      <c r="S213" s="80">
        <f>S186*J213</f>
        <v>1976.7747999999999</v>
      </c>
      <c r="T213" s="80">
        <f>T186*J213</f>
        <v>267.0668</v>
      </c>
      <c r="U213" s="80">
        <f>U186*J213</f>
        <v>402.0016</v>
      </c>
      <c r="W213" s="97">
        <f>W186*K213</f>
        <v>-260380.12</v>
      </c>
      <c r="X213" s="97">
        <f>X186*K213</f>
        <v>-280840.56</v>
      </c>
      <c r="Y213" s="97">
        <f>Y186*K213</f>
        <v>-2250928.6799999997</v>
      </c>
    </row>
    <row r="214" spans="1:25" ht="13.5" thickBot="1" x14ac:dyDescent="0.25">
      <c r="A214" s="241" t="s">
        <v>178</v>
      </c>
      <c r="B214" s="242"/>
      <c r="C214" s="243" t="e">
        <f>C191+C192+C195+C196+C200+C203+C206+C207+C208+C210+C211+C212+C213</f>
        <v>#REF!</v>
      </c>
      <c r="D214" s="244"/>
      <c r="E214" s="243" t="e">
        <f>E191+E192+E195+E196+E200+E203+E206+E207+E208+E210+E211+E212+E213</f>
        <v>#REF!</v>
      </c>
      <c r="F214" s="244"/>
      <c r="G214" s="243" t="e">
        <f>G191+G192+G195+G196+G200+G203+G206+G207+G208+G210+G211+G212+G213</f>
        <v>#REF!</v>
      </c>
      <c r="H214" s="243"/>
      <c r="I214" s="243">
        <v>9.1323000000000008</v>
      </c>
      <c r="J214" s="243">
        <v>8.5822000000000003</v>
      </c>
      <c r="K214" s="243">
        <v>5.9946000000000002</v>
      </c>
      <c r="L214" s="115">
        <f>SUM(L187:L213)</f>
        <v>132.763475</v>
      </c>
      <c r="M214" s="116">
        <f>SUM(M187:M213)</f>
        <v>177.03650000000002</v>
      </c>
      <c r="O214" s="117">
        <f>SUM(O187:O213)</f>
        <v>361.44385000000005</v>
      </c>
      <c r="P214" s="117">
        <f>SUM(P187:P213)</f>
        <v>927.35220000000004</v>
      </c>
      <c r="R214" s="117">
        <f>SUM(R187:R213)</f>
        <v>898.0598</v>
      </c>
      <c r="S214" s="117">
        <f>SUM(S187:S213)</f>
        <v>40600.652600000009</v>
      </c>
      <c r="T214" s="117">
        <f>SUM(T187:T213)</f>
        <v>5544.806599999999</v>
      </c>
      <c r="U214" s="117">
        <f>SUM(U187:U213)</f>
        <v>8311.5092000000004</v>
      </c>
      <c r="W214" s="118">
        <f>SUM(W187:W213)</f>
        <v>-4196682.0380000006</v>
      </c>
      <c r="X214" s="118">
        <f>SUM(X187:X213)</f>
        <v>-4491682.6823999994</v>
      </c>
      <c r="Y214" s="118">
        <f>SUM(Y187:Y213)</f>
        <v>-36508216.014400005</v>
      </c>
    </row>
    <row r="215" spans="1:25" ht="14.25" thickTop="1" thickBot="1" x14ac:dyDescent="0.25">
      <c r="A215" s="241" t="s">
        <v>179</v>
      </c>
      <c r="B215" s="242" t="s">
        <v>166</v>
      </c>
      <c r="C215" s="245">
        <f>C205</f>
        <v>5</v>
      </c>
      <c r="D215" s="245"/>
      <c r="E215" s="245">
        <f>E202+E205</f>
        <v>68.87</v>
      </c>
      <c r="F215" s="245"/>
      <c r="G215" s="245">
        <f>G202+G205</f>
        <v>68.87</v>
      </c>
      <c r="H215" s="243"/>
      <c r="I215" s="120">
        <f>I187+I189+I190+I195+I196+I200+I203+I206</f>
        <v>8.5097999999999985</v>
      </c>
      <c r="J215" s="64" t="e">
        <f>E214-J214</f>
        <v>#REF!</v>
      </c>
      <c r="K215" s="64" t="e">
        <f>G214-K214</f>
        <v>#REF!</v>
      </c>
      <c r="M215" s="30" t="s">
        <v>180</v>
      </c>
      <c r="O215" s="121">
        <f>O186*I217</f>
        <v>4.8461999999999996</v>
      </c>
      <c r="P215" s="121">
        <f>P186*I217</f>
        <v>11.9382</v>
      </c>
      <c r="R215" s="121">
        <f>R186*J217</f>
        <v>11.9382</v>
      </c>
      <c r="S215" s="121">
        <f>S186*K217</f>
        <v>583.55340000000001</v>
      </c>
      <c r="T215" s="121">
        <f>T186*J217</f>
        <v>78.839399999999998</v>
      </c>
      <c r="U215" s="121">
        <f>U186*J217</f>
        <v>118.6728</v>
      </c>
      <c r="W215" s="122">
        <f>W186*K217</f>
        <v>-76865.460000000006</v>
      </c>
      <c r="X215" s="122">
        <f>X186*K217</f>
        <v>-82905.48</v>
      </c>
      <c r="Y215" s="122">
        <f>Y186*K217</f>
        <v>-664484.93999999994</v>
      </c>
    </row>
    <row r="216" spans="1:25" ht="14.25" thickTop="1" thickBot="1" x14ac:dyDescent="0.25">
      <c r="A216" s="241" t="s">
        <v>181</v>
      </c>
      <c r="B216" s="246" t="s">
        <v>158</v>
      </c>
      <c r="C216" s="243"/>
      <c r="D216" s="243"/>
      <c r="E216" s="243"/>
      <c r="F216" s="243"/>
      <c r="G216" s="243" t="e">
        <f>G194+G199</f>
        <v>#REF!</v>
      </c>
      <c r="H216" s="243"/>
      <c r="I216" s="30" t="s">
        <v>182</v>
      </c>
      <c r="J216" s="30" t="s">
        <v>182</v>
      </c>
      <c r="K216" s="30" t="s">
        <v>182</v>
      </c>
      <c r="M216" s="30" t="s">
        <v>183</v>
      </c>
      <c r="O216" s="121">
        <f>O186*I218</f>
        <v>9.0200000000000002E-2</v>
      </c>
      <c r="P216" s="121">
        <f>P186*I218</f>
        <v>0.22220000000000001</v>
      </c>
      <c r="R216" s="121">
        <f>R186*J218</f>
        <v>0.22220000000000001</v>
      </c>
      <c r="S216" s="121">
        <f>S186*K218</f>
        <v>10.861400000000001</v>
      </c>
      <c r="T216" s="121">
        <f>T186*J218</f>
        <v>1.4674</v>
      </c>
      <c r="U216" s="121">
        <f>U186*J218</f>
        <v>2.2088000000000001</v>
      </c>
      <c r="W216" s="122">
        <f>W186*K218</f>
        <v>-1430.66</v>
      </c>
      <c r="X216" s="122">
        <f>X186*K218</f>
        <v>-1543.0800000000002</v>
      </c>
      <c r="Y216" s="122">
        <f>Y186*K218</f>
        <v>-12367.740000000002</v>
      </c>
    </row>
    <row r="217" spans="1:25" ht="13.5" thickTop="1" x14ac:dyDescent="0.2">
      <c r="A217" s="73"/>
      <c r="B217" s="73"/>
      <c r="C217" s="73"/>
      <c r="D217" s="1000" t="s">
        <v>184</v>
      </c>
      <c r="E217" s="1000"/>
      <c r="F217" s="1001"/>
      <c r="G217" s="1002" t="s">
        <v>185</v>
      </c>
      <c r="H217" s="1000"/>
      <c r="I217" s="30">
        <v>0.1182</v>
      </c>
      <c r="J217" s="64">
        <f>I217</f>
        <v>0.1182</v>
      </c>
      <c r="K217" s="64">
        <f>I217</f>
        <v>0.1182</v>
      </c>
      <c r="M217" s="30" t="s">
        <v>186</v>
      </c>
      <c r="O217" s="121">
        <f>O186*I219</f>
        <v>0.6109</v>
      </c>
      <c r="P217" s="121">
        <f>P186*I219</f>
        <v>1.5048999999999999</v>
      </c>
      <c r="R217" s="121">
        <f>R186*J219</f>
        <v>1.5048999999999999</v>
      </c>
      <c r="S217" s="121">
        <f>S186*J219</f>
        <v>73.561300000000003</v>
      </c>
      <c r="T217" s="121">
        <f>T186*J219</f>
        <v>9.9382999999999999</v>
      </c>
      <c r="U217" s="121">
        <f>U186*J219</f>
        <v>14.9596</v>
      </c>
      <c r="W217" s="122">
        <v>0</v>
      </c>
      <c r="X217" s="122">
        <v>0</v>
      </c>
      <c r="Y217" s="122">
        <v>0</v>
      </c>
    </row>
    <row r="218" spans="1:25" x14ac:dyDescent="0.2">
      <c r="A218" s="73"/>
      <c r="B218" s="73"/>
      <c r="C218" s="73"/>
      <c r="D218" s="247" t="s">
        <v>187</v>
      </c>
      <c r="E218" s="248" t="s">
        <v>188</v>
      </c>
      <c r="F218" s="249" t="s">
        <v>189</v>
      </c>
      <c r="G218" s="1003" t="s">
        <v>190</v>
      </c>
      <c r="H218" s="1004"/>
      <c r="I218" s="64">
        <v>2.2000000000000001E-3</v>
      </c>
      <c r="J218" s="64">
        <f>I218</f>
        <v>2.2000000000000001E-3</v>
      </c>
      <c r="K218" s="64">
        <f>I218</f>
        <v>2.2000000000000001E-3</v>
      </c>
      <c r="M218" s="30" t="s">
        <v>191</v>
      </c>
      <c r="O218" s="121">
        <f>(SUM(O192,O200:O207))*12%</f>
        <v>10.269276000000001</v>
      </c>
      <c r="P218" s="121">
        <f>(SUM(P192,P200:P207))*12%</f>
        <v>24.419435999999997</v>
      </c>
      <c r="R218" s="121">
        <f>(SUM(R192,R200:R207))*12%</f>
        <v>20.595288</v>
      </c>
      <c r="S218" s="121">
        <f>(SUM(S192,S200:S207))*12%</f>
        <v>611.01285599999983</v>
      </c>
      <c r="T218" s="121">
        <f>(SUM(T192,T200:T207))*12%</f>
        <v>89.697095999999988</v>
      </c>
      <c r="U218" s="121">
        <f>(SUM(U192,U200:U207))*12%</f>
        <v>130.84075200000001</v>
      </c>
      <c r="W218" s="122">
        <f>(SUM(W192,W199:W207))*12%</f>
        <v>-2631.3095999999991</v>
      </c>
      <c r="X218" s="122">
        <f>(SUM(X192,X199:X207))*12%</f>
        <v>-716.99160000000006</v>
      </c>
      <c r="Y218" s="122">
        <f>(SUM(Y192,Y199:Y207))*12%</f>
        <v>-36739.005599999997</v>
      </c>
    </row>
    <row r="219" spans="1:25" ht="13.5" thickBot="1" x14ac:dyDescent="0.25">
      <c r="A219" s="73"/>
      <c r="B219" s="73"/>
      <c r="C219" s="73"/>
      <c r="D219" s="250" t="e">
        <f>#REF!</f>
        <v>#REF!</v>
      </c>
      <c r="E219" s="250" t="e">
        <f>#REF!</f>
        <v>#REF!</v>
      </c>
      <c r="F219" s="250" t="e">
        <f>#REF!</f>
        <v>#REF!</v>
      </c>
      <c r="G219" s="251">
        <v>0.12</v>
      </c>
      <c r="H219" s="252"/>
      <c r="I219" s="64">
        <v>1.49E-2</v>
      </c>
      <c r="J219" s="64">
        <f>I219</f>
        <v>1.49E-2</v>
      </c>
      <c r="K219" s="64">
        <f>I219</f>
        <v>1.49E-2</v>
      </c>
      <c r="O219" s="116">
        <f>SUM(O214:O218)</f>
        <v>377.26042600000005</v>
      </c>
      <c r="P219" s="116">
        <f>SUM(P214:P218)</f>
        <v>965.43693600000017</v>
      </c>
      <c r="R219" s="116">
        <f>SUM(R214:R218)</f>
        <v>932.32038800000009</v>
      </c>
      <c r="S219" s="116">
        <f>SUM(S214:S218)</f>
        <v>41879.64155600001</v>
      </c>
      <c r="T219" s="116">
        <f>SUM(T214:T218)</f>
        <v>5724.7487959999989</v>
      </c>
      <c r="U219" s="116">
        <f>SUM(U214:U218)</f>
        <v>8578.1911520000012</v>
      </c>
      <c r="W219" s="116">
        <f>SUM(W214:W218)</f>
        <v>-4277609.467600001</v>
      </c>
      <c r="X219" s="116">
        <f>SUM(X214:X218)</f>
        <v>-4576848.2340000002</v>
      </c>
      <c r="Y219" s="116">
        <f>SUM(Y214:Y218)</f>
        <v>-37221807.700000003</v>
      </c>
    </row>
    <row r="220" spans="1:25" ht="13.5" thickTop="1" x14ac:dyDescent="0.2">
      <c r="A220" s="72" t="s">
        <v>192</v>
      </c>
      <c r="B220" s="72"/>
      <c r="C220" s="253" t="s">
        <v>193</v>
      </c>
      <c r="D220" s="73"/>
      <c r="E220" s="73"/>
      <c r="F220" s="73"/>
      <c r="G220" s="73"/>
      <c r="H220" s="73"/>
      <c r="J220" s="97"/>
      <c r="P220" s="97"/>
    </row>
    <row r="221" spans="1:25" x14ac:dyDescent="0.2">
      <c r="A221" s="72"/>
      <c r="B221" s="73"/>
      <c r="C221" s="72"/>
      <c r="D221" s="73"/>
      <c r="E221" s="73"/>
      <c r="F221" s="73"/>
      <c r="G221" s="73"/>
      <c r="H221" s="73"/>
      <c r="P221" s="97"/>
      <c r="R221" s="122"/>
    </row>
    <row r="222" spans="1:25" x14ac:dyDescent="0.2">
      <c r="A222" s="254" t="s">
        <v>194</v>
      </c>
      <c r="B222" s="221"/>
      <c r="C222" s="254" t="s">
        <v>195</v>
      </c>
      <c r="D222" s="73"/>
      <c r="E222" s="73"/>
      <c r="F222" s="73"/>
      <c r="G222" s="73"/>
      <c r="H222" s="73"/>
    </row>
    <row r="223" spans="1:25" x14ac:dyDescent="0.2">
      <c r="A223" s="72" t="s">
        <v>196</v>
      </c>
      <c r="B223" s="73"/>
      <c r="C223" s="72" t="s">
        <v>197</v>
      </c>
      <c r="D223" s="73"/>
      <c r="E223" s="73"/>
      <c r="F223" s="73"/>
      <c r="G223" s="73"/>
      <c r="H223" s="73"/>
    </row>
    <row r="224" spans="1:25" x14ac:dyDescent="0.2">
      <c r="A224" s="75" t="s">
        <v>64</v>
      </c>
      <c r="B224" s="75"/>
      <c r="C224" s="75"/>
      <c r="D224" s="75"/>
      <c r="E224" s="75"/>
      <c r="F224" s="75"/>
      <c r="G224" s="75"/>
      <c r="H224" s="75"/>
    </row>
    <row r="225" spans="1:25" x14ac:dyDescent="0.2">
      <c r="A225" s="75" t="s">
        <v>0</v>
      </c>
      <c r="B225" s="75"/>
      <c r="C225" s="75"/>
      <c r="D225" s="75"/>
      <c r="E225" s="75"/>
      <c r="F225" s="75"/>
      <c r="G225" s="75"/>
      <c r="H225" s="75"/>
    </row>
    <row r="226" spans="1:25" x14ac:dyDescent="0.2">
      <c r="A226" s="75"/>
      <c r="B226" s="75"/>
      <c r="C226" s="75"/>
      <c r="D226" s="75"/>
      <c r="E226" s="75"/>
      <c r="F226" s="75"/>
      <c r="G226" s="75"/>
      <c r="H226" s="75"/>
    </row>
    <row r="227" spans="1:25" x14ac:dyDescent="0.2">
      <c r="A227" s="255" t="s">
        <v>60</v>
      </c>
      <c r="B227" s="75"/>
      <c r="C227" s="75"/>
      <c r="D227" s="75"/>
      <c r="E227" s="75"/>
      <c r="F227" s="75"/>
      <c r="G227" s="75"/>
      <c r="H227" s="75"/>
      <c r="W227" s="34" t="s">
        <v>143</v>
      </c>
      <c r="X227" s="34" t="s">
        <v>144</v>
      </c>
      <c r="Y227" s="34" t="s">
        <v>1</v>
      </c>
    </row>
    <row r="228" spans="1:25" x14ac:dyDescent="0.2">
      <c r="A228" s="256" t="s">
        <v>59</v>
      </c>
      <c r="B228" s="75"/>
      <c r="C228" s="75"/>
      <c r="D228" s="75"/>
      <c r="E228" s="75"/>
      <c r="F228" s="75"/>
      <c r="G228" s="75"/>
      <c r="H228" s="75"/>
      <c r="W228" s="83" t="s">
        <v>145</v>
      </c>
      <c r="X228" s="83" t="s">
        <v>145</v>
      </c>
      <c r="Y228" s="83" t="s">
        <v>145</v>
      </c>
    </row>
    <row r="229" spans="1:25" x14ac:dyDescent="0.2">
      <c r="A229" s="256"/>
      <c r="B229" s="75"/>
      <c r="C229" s="75"/>
      <c r="D229" s="75"/>
      <c r="E229" s="75"/>
      <c r="F229" s="75"/>
      <c r="G229" s="75"/>
      <c r="H229" s="75"/>
      <c r="L229" s="257" t="s">
        <v>146</v>
      </c>
      <c r="M229" s="75" t="s">
        <v>6</v>
      </c>
      <c r="N229" s="75"/>
      <c r="O229" s="257" t="s">
        <v>146</v>
      </c>
      <c r="P229" s="75" t="s">
        <v>6</v>
      </c>
      <c r="R229" s="85" t="s">
        <v>147</v>
      </c>
      <c r="S229" s="85" t="s">
        <v>147</v>
      </c>
      <c r="T229" s="85" t="s">
        <v>147</v>
      </c>
      <c r="U229" s="85" t="s">
        <v>147</v>
      </c>
      <c r="W229" s="86">
        <f>0.2*700</f>
        <v>140</v>
      </c>
      <c r="X229" s="86">
        <f>0.31*700</f>
        <v>217</v>
      </c>
      <c r="Y229" s="86">
        <f>0.37*2100</f>
        <v>777</v>
      </c>
    </row>
    <row r="230" spans="1:25" x14ac:dyDescent="0.2">
      <c r="A230" s="1005"/>
      <c r="B230" s="1006"/>
      <c r="C230" s="258" t="s">
        <v>6</v>
      </c>
      <c r="D230" s="1007" t="s">
        <v>47</v>
      </c>
      <c r="E230" s="1008"/>
      <c r="F230" s="1009"/>
      <c r="G230" s="1007" t="s">
        <v>13</v>
      </c>
      <c r="H230" s="1009"/>
      <c r="I230" s="259" t="s">
        <v>6</v>
      </c>
      <c r="J230" s="258" t="s">
        <v>47</v>
      </c>
      <c r="K230" s="258" t="s">
        <v>13</v>
      </c>
      <c r="L230" s="257" t="s">
        <v>130</v>
      </c>
      <c r="M230" s="260" t="s">
        <v>148</v>
      </c>
      <c r="N230" s="75"/>
      <c r="O230" s="257" t="s">
        <v>130</v>
      </c>
      <c r="P230" s="257" t="s">
        <v>130</v>
      </c>
      <c r="R230" s="80" t="s">
        <v>130</v>
      </c>
      <c r="S230" s="80" t="s">
        <v>130</v>
      </c>
      <c r="T230" s="80" t="s">
        <v>130</v>
      </c>
      <c r="U230" s="80" t="s">
        <v>130</v>
      </c>
      <c r="W230" s="89" t="s">
        <v>130</v>
      </c>
      <c r="X230" s="89" t="s">
        <v>130</v>
      </c>
      <c r="Y230" s="89" t="s">
        <v>130</v>
      </c>
    </row>
    <row r="231" spans="1:25" x14ac:dyDescent="0.2">
      <c r="A231" s="261" t="s">
        <v>149</v>
      </c>
      <c r="B231" s="75"/>
      <c r="C231" s="262"/>
      <c r="D231" s="262"/>
      <c r="E231" s="262"/>
      <c r="F231" s="262"/>
      <c r="G231" s="262"/>
      <c r="H231" s="263"/>
      <c r="J231" s="93"/>
      <c r="L231" s="93">
        <v>18</v>
      </c>
      <c r="M231" s="93">
        <v>11</v>
      </c>
      <c r="O231" s="93">
        <v>91</v>
      </c>
      <c r="P231" s="93">
        <v>102</v>
      </c>
      <c r="R231" s="93">
        <v>102</v>
      </c>
      <c r="S231" s="93">
        <v>4937</v>
      </c>
      <c r="T231" s="93">
        <v>667</v>
      </c>
      <c r="U231" s="93">
        <v>1004</v>
      </c>
      <c r="W231" s="94">
        <f>(0-929)*700</f>
        <v>-650300</v>
      </c>
      <c r="X231" s="94">
        <f>(0-1002)*700</f>
        <v>-701400</v>
      </c>
      <c r="Y231" s="94">
        <f>(0-2677)*2100</f>
        <v>-5621700</v>
      </c>
    </row>
    <row r="232" spans="1:25" x14ac:dyDescent="0.2">
      <c r="A232" s="264" t="s">
        <v>150</v>
      </c>
      <c r="B232" s="75" t="s">
        <v>135</v>
      </c>
      <c r="C232" s="265" t="e">
        <f>C236-C233-C234-C235</f>
        <v>#REF!</v>
      </c>
      <c r="D232" s="265"/>
      <c r="E232" s="265" t="e">
        <f>E236-E233-E234-E235</f>
        <v>#REF!</v>
      </c>
      <c r="F232" s="265"/>
      <c r="G232" s="265" t="e">
        <f>G236-G233-G234-G235</f>
        <v>#REF!</v>
      </c>
      <c r="H232" s="266"/>
      <c r="I232" s="30">
        <v>3.2416999999999998</v>
      </c>
      <c r="J232" s="30">
        <v>3.2416999999999998</v>
      </c>
      <c r="K232" s="30">
        <v>3.2416999999999998</v>
      </c>
      <c r="L232" s="80">
        <f>L231*(I232+I234+I235)</f>
        <v>69.258600000000001</v>
      </c>
      <c r="M232" s="80">
        <f>M231*(I232+I234+I235)</f>
        <v>42.3247</v>
      </c>
      <c r="O232" s="80">
        <f>O231*(I232+I234+I235)</f>
        <v>350.14070000000004</v>
      </c>
      <c r="P232" s="80">
        <f>P231*(I232+I234+I235)</f>
        <v>392.46539999999999</v>
      </c>
      <c r="R232" s="80">
        <f>R231*(J232+J234+J235)</f>
        <v>392.46539999999999</v>
      </c>
      <c r="S232" s="80">
        <f>S231*(J232+J234+J235)</f>
        <v>18996.0949</v>
      </c>
      <c r="T232" s="80">
        <f>T231*(J232+J234+J235)</f>
        <v>2566.4159</v>
      </c>
      <c r="U232" s="80">
        <f>U231*(J232+J234+J235)</f>
        <v>3863.0907999999999</v>
      </c>
      <c r="W232" s="97">
        <f>W231*(K232+K234+K235)</f>
        <v>-2502159.31</v>
      </c>
      <c r="X232" s="97">
        <f>X231*(K232+K234+K235)</f>
        <v>-2698776.7800000003</v>
      </c>
      <c r="Y232" s="97">
        <f>Y231*(K232+K234+K235)</f>
        <v>-21630615.09</v>
      </c>
    </row>
    <row r="233" spans="1:25" x14ac:dyDescent="0.2">
      <c r="A233" s="264" t="s">
        <v>151</v>
      </c>
      <c r="B233" s="75" t="s">
        <v>135</v>
      </c>
      <c r="C233" s="265">
        <v>1.77E-2</v>
      </c>
      <c r="D233" s="265"/>
      <c r="E233" s="265">
        <v>1.77E-2</v>
      </c>
      <c r="F233" s="265"/>
      <c r="G233" s="265">
        <v>1.77E-2</v>
      </c>
      <c r="H233" s="267"/>
      <c r="I233" s="30">
        <v>1.77E-2</v>
      </c>
      <c r="J233" s="30">
        <v>1.77E-2</v>
      </c>
      <c r="K233" s="30">
        <v>1.77E-2</v>
      </c>
      <c r="L233" s="80">
        <f>L231*I233</f>
        <v>0.31859999999999999</v>
      </c>
      <c r="M233" s="80">
        <f>M231*I233</f>
        <v>0.19470000000000001</v>
      </c>
      <c r="O233" s="80">
        <f>O231*I233</f>
        <v>1.6107</v>
      </c>
      <c r="P233" s="80">
        <f>P231*I233</f>
        <v>1.8054000000000001</v>
      </c>
      <c r="R233" s="80">
        <f>R231*J233</f>
        <v>1.8054000000000001</v>
      </c>
      <c r="S233" s="80">
        <f>S231*J233</f>
        <v>87.384900000000002</v>
      </c>
      <c r="T233" s="80">
        <f>T231*J233</f>
        <v>11.805900000000001</v>
      </c>
      <c r="U233" s="80">
        <f>U231*J233</f>
        <v>17.770800000000001</v>
      </c>
      <c r="W233" s="97">
        <f>W231*K233</f>
        <v>-11510.31</v>
      </c>
      <c r="X233" s="97">
        <f>X231*K233</f>
        <v>-12414.78</v>
      </c>
      <c r="Y233" s="97">
        <f>Y231*K233</f>
        <v>-99504.09</v>
      </c>
    </row>
    <row r="234" spans="1:25" x14ac:dyDescent="0.2">
      <c r="A234" s="264" t="s">
        <v>152</v>
      </c>
      <c r="B234" s="75" t="s">
        <v>135</v>
      </c>
      <c r="C234" s="265">
        <v>0.48470000000000002</v>
      </c>
      <c r="D234" s="265"/>
      <c r="E234" s="265">
        <v>0.48470000000000002</v>
      </c>
      <c r="F234" s="265"/>
      <c r="G234" s="265">
        <v>0.48470000000000002</v>
      </c>
      <c r="H234" s="267"/>
      <c r="I234" s="30">
        <v>0.48470000000000002</v>
      </c>
      <c r="J234" s="30">
        <v>0.48470000000000002</v>
      </c>
      <c r="K234" s="30">
        <v>0.48470000000000002</v>
      </c>
      <c r="M234" s="80"/>
      <c r="O234" s="80"/>
      <c r="P234" s="80"/>
      <c r="R234" s="80"/>
      <c r="S234" s="80"/>
      <c r="T234" s="80"/>
      <c r="U234" s="80"/>
      <c r="W234" s="97"/>
      <c r="X234" s="97"/>
      <c r="Y234" s="97"/>
    </row>
    <row r="235" spans="1:25" x14ac:dyDescent="0.2">
      <c r="A235" s="264" t="s">
        <v>153</v>
      </c>
      <c r="B235" s="75" t="s">
        <v>135</v>
      </c>
      <c r="C235" s="265">
        <v>0.12130000000000001</v>
      </c>
      <c r="D235" s="265"/>
      <c r="E235" s="265">
        <v>0.12130000000000001</v>
      </c>
      <c r="F235" s="265"/>
      <c r="G235" s="265">
        <v>0.12130000000000001</v>
      </c>
      <c r="H235" s="267"/>
      <c r="I235" s="30">
        <v>0.12130000000000001</v>
      </c>
      <c r="J235" s="30">
        <v>0.12130000000000001</v>
      </c>
      <c r="K235" s="30">
        <v>0.12130000000000001</v>
      </c>
      <c r="M235" s="80"/>
      <c r="O235" s="80"/>
      <c r="P235" s="80"/>
      <c r="R235" s="80"/>
      <c r="S235" s="80"/>
      <c r="T235" s="80"/>
      <c r="U235" s="80"/>
      <c r="W235" s="97"/>
      <c r="X235" s="97"/>
      <c r="Y235" s="97"/>
    </row>
    <row r="236" spans="1:25" x14ac:dyDescent="0.2">
      <c r="A236" s="264" t="s">
        <v>154</v>
      </c>
      <c r="B236" s="75"/>
      <c r="C236" s="268" t="e">
        <f>#REF!</f>
        <v>#REF!</v>
      </c>
      <c r="D236" s="268"/>
      <c r="E236" s="268" t="e">
        <f>C236</f>
        <v>#REF!</v>
      </c>
      <c r="F236" s="268"/>
      <c r="G236" s="268" t="e">
        <f>C236</f>
        <v>#REF!</v>
      </c>
      <c r="H236" s="269"/>
      <c r="M236" s="80"/>
      <c r="O236" s="80"/>
      <c r="P236" s="80"/>
      <c r="R236" s="80"/>
      <c r="S236" s="80"/>
      <c r="T236" s="80"/>
      <c r="U236" s="80"/>
      <c r="W236" s="97"/>
      <c r="X236" s="97"/>
      <c r="Y236" s="97"/>
    </row>
    <row r="237" spans="1:25" x14ac:dyDescent="0.2">
      <c r="A237" s="261" t="s">
        <v>155</v>
      </c>
      <c r="B237" s="75" t="s">
        <v>135</v>
      </c>
      <c r="C237" s="265" t="e">
        <f>(-548379.95-51831.78)/#REF!</f>
        <v>#REF!</v>
      </c>
      <c r="D237" s="265"/>
      <c r="E237" s="265"/>
      <c r="F237" s="265"/>
      <c r="G237" s="265"/>
      <c r="H237" s="266"/>
      <c r="I237" s="64">
        <v>-0.22570000000000001</v>
      </c>
      <c r="J237" s="101"/>
      <c r="K237" s="101"/>
      <c r="L237" s="80">
        <f>L231*I237</f>
        <v>-4.0625999999999998</v>
      </c>
      <c r="M237" s="80">
        <f>M231*I237</f>
        <v>-2.4827000000000004</v>
      </c>
      <c r="O237" s="102">
        <f>O231*I237</f>
        <v>-20.538700000000002</v>
      </c>
      <c r="P237" s="102">
        <f>P231*I237</f>
        <v>-23.0214</v>
      </c>
      <c r="R237" s="102">
        <f>R231*J237</f>
        <v>0</v>
      </c>
      <c r="S237" s="102">
        <f>S231*K237</f>
        <v>0</v>
      </c>
      <c r="T237" s="102">
        <f>T231*J237</f>
        <v>0</v>
      </c>
      <c r="U237" s="102">
        <f>U231*J237</f>
        <v>0</v>
      </c>
      <c r="W237" s="103">
        <f>W231*K237</f>
        <v>0</v>
      </c>
      <c r="X237" s="103">
        <f>X231*K237</f>
        <v>0</v>
      </c>
      <c r="Y237" s="103">
        <f>Y231*K237</f>
        <v>0</v>
      </c>
    </row>
    <row r="238" spans="1:25" x14ac:dyDescent="0.2">
      <c r="A238" s="261" t="s">
        <v>156</v>
      </c>
      <c r="B238" s="75"/>
      <c r="C238" s="265"/>
      <c r="D238" s="265"/>
      <c r="E238" s="265"/>
      <c r="F238" s="265"/>
      <c r="G238" s="265"/>
      <c r="H238" s="266"/>
      <c r="M238" s="80"/>
      <c r="O238" s="80"/>
      <c r="P238" s="80"/>
      <c r="R238" s="80"/>
      <c r="S238" s="80"/>
      <c r="T238" s="80"/>
      <c r="U238" s="80"/>
      <c r="W238" s="97"/>
      <c r="X238" s="97"/>
      <c r="Y238" s="97"/>
    </row>
    <row r="239" spans="1:25" x14ac:dyDescent="0.2">
      <c r="A239" s="264" t="s">
        <v>157</v>
      </c>
      <c r="B239" s="75" t="s">
        <v>158</v>
      </c>
      <c r="C239" s="265"/>
      <c r="D239" s="265"/>
      <c r="E239" s="265"/>
      <c r="F239" s="265"/>
      <c r="G239" s="265" t="e">
        <f>#REF!</f>
        <v>#REF!</v>
      </c>
      <c r="H239" s="267"/>
      <c r="K239" s="64">
        <v>164.1748</v>
      </c>
      <c r="M239" s="80"/>
      <c r="O239" s="80"/>
      <c r="P239" s="80"/>
      <c r="R239" s="80"/>
      <c r="S239" s="80"/>
      <c r="T239" s="80"/>
      <c r="U239" s="80"/>
      <c r="W239" s="104">
        <f>W229*K239</f>
        <v>22984.472000000002</v>
      </c>
      <c r="X239" s="97">
        <f>X229*K239</f>
        <v>35625.931600000004</v>
      </c>
      <c r="Y239" s="97">
        <f>Y229*K239</f>
        <v>127563.8196</v>
      </c>
    </row>
    <row r="240" spans="1:25" x14ac:dyDescent="0.2">
      <c r="A240" s="264" t="s">
        <v>159</v>
      </c>
      <c r="B240" s="75" t="s">
        <v>135</v>
      </c>
      <c r="C240" s="265" t="e">
        <f>#REF!</f>
        <v>#REF!</v>
      </c>
      <c r="D240" s="265"/>
      <c r="E240" s="265" t="e">
        <f>#REF!</f>
        <v>#REF!</v>
      </c>
      <c r="F240" s="265"/>
      <c r="G240" s="265"/>
      <c r="H240" s="267"/>
      <c r="I240" s="30">
        <v>0.72289999999999999</v>
      </c>
      <c r="J240" s="64">
        <v>0.73150000000000004</v>
      </c>
      <c r="L240" s="80">
        <f>L231*I240</f>
        <v>13.0122</v>
      </c>
      <c r="M240" s="80">
        <f>M231*I240</f>
        <v>7.9519000000000002</v>
      </c>
      <c r="O240" s="80">
        <f>O231*I240</f>
        <v>65.783900000000003</v>
      </c>
      <c r="P240" s="80">
        <f>P231*I240</f>
        <v>73.735799999999998</v>
      </c>
      <c r="R240" s="80">
        <f>R231*J240</f>
        <v>74.613</v>
      </c>
      <c r="S240" s="80">
        <f>S231*J240</f>
        <v>3611.4155000000001</v>
      </c>
      <c r="T240" s="80">
        <f>T231*J240</f>
        <v>487.91050000000001</v>
      </c>
      <c r="U240" s="80">
        <f>U231*J240</f>
        <v>734.42600000000004</v>
      </c>
      <c r="W240" s="97">
        <f>W231*K240</f>
        <v>0</v>
      </c>
      <c r="X240" s="97">
        <f>X231*K240</f>
        <v>0</v>
      </c>
      <c r="Y240" s="97">
        <f>Y231*K240</f>
        <v>0</v>
      </c>
    </row>
    <row r="241" spans="1:25" x14ac:dyDescent="0.2">
      <c r="A241" s="261" t="s">
        <v>160</v>
      </c>
      <c r="B241" s="75" t="s">
        <v>135</v>
      </c>
      <c r="C241" s="265" t="e">
        <f>#REF!</f>
        <v>#REF!</v>
      </c>
      <c r="D241" s="265"/>
      <c r="E241" s="265" t="e">
        <f>C241</f>
        <v>#REF!</v>
      </c>
      <c r="F241" s="265"/>
      <c r="G241" s="265" t="e">
        <f>C241</f>
        <v>#REF!</v>
      </c>
      <c r="H241" s="267"/>
      <c r="I241" s="30">
        <v>0.58289999999999997</v>
      </c>
      <c r="J241" s="30">
        <v>0.58289999999999997</v>
      </c>
      <c r="K241" s="30">
        <v>0.58289999999999997</v>
      </c>
      <c r="L241" s="80">
        <f>L231*I241</f>
        <v>10.4922</v>
      </c>
      <c r="M241" s="80">
        <f>M231*I241</f>
        <v>6.4118999999999993</v>
      </c>
      <c r="O241" s="80">
        <f>O231*I241</f>
        <v>53.043900000000001</v>
      </c>
      <c r="P241" s="80">
        <f>P231*I241</f>
        <v>59.455799999999996</v>
      </c>
      <c r="R241" s="80">
        <f>R231*J241</f>
        <v>59.455799999999996</v>
      </c>
      <c r="S241" s="80">
        <f>S231*J241</f>
        <v>2877.7772999999997</v>
      </c>
      <c r="T241" s="80">
        <f>T231*J241</f>
        <v>388.79429999999996</v>
      </c>
      <c r="U241" s="80">
        <f>U231*J241</f>
        <v>585.23159999999996</v>
      </c>
      <c r="W241" s="97">
        <f>W231*K241</f>
        <v>-379059.87</v>
      </c>
      <c r="X241" s="97">
        <f>X231*K241</f>
        <v>-408846.06</v>
      </c>
      <c r="Y241" s="97">
        <f>Y231*K241</f>
        <v>-3276888.9299999997</v>
      </c>
    </row>
    <row r="242" spans="1:25" x14ac:dyDescent="0.2">
      <c r="A242" s="264"/>
      <c r="B242" s="75"/>
      <c r="C242" s="265"/>
      <c r="D242" s="265"/>
      <c r="E242" s="265"/>
      <c r="F242" s="265"/>
      <c r="G242" s="265"/>
      <c r="H242" s="267"/>
      <c r="M242" s="80"/>
      <c r="O242" s="80"/>
      <c r="P242" s="80"/>
      <c r="R242" s="80"/>
      <c r="S242" s="80"/>
      <c r="T242" s="80"/>
      <c r="U242" s="80"/>
      <c r="W242" s="97"/>
      <c r="X242" s="97"/>
      <c r="Y242" s="97"/>
    </row>
    <row r="243" spans="1:25" x14ac:dyDescent="0.2">
      <c r="A243" s="261" t="s">
        <v>161</v>
      </c>
      <c r="B243" s="75"/>
      <c r="C243" s="265"/>
      <c r="D243" s="265"/>
      <c r="E243" s="265"/>
      <c r="F243" s="265"/>
      <c r="G243" s="265"/>
      <c r="H243" s="267"/>
      <c r="M243" s="80"/>
      <c r="O243" s="80"/>
      <c r="P243" s="80"/>
      <c r="R243" s="80"/>
      <c r="S243" s="80"/>
      <c r="T243" s="80"/>
      <c r="U243" s="80"/>
      <c r="W243" s="97"/>
      <c r="X243" s="97"/>
      <c r="Y243" s="97"/>
    </row>
    <row r="244" spans="1:25" x14ac:dyDescent="0.2">
      <c r="A244" s="264" t="s">
        <v>162</v>
      </c>
      <c r="B244" s="75" t="s">
        <v>158</v>
      </c>
      <c r="C244" s="265"/>
      <c r="D244" s="265"/>
      <c r="E244" s="265"/>
      <c r="F244" s="265"/>
      <c r="G244" s="265">
        <v>267.89999999999998</v>
      </c>
      <c r="H244" s="267"/>
      <c r="K244" s="101">
        <v>267.89999999999998</v>
      </c>
      <c r="M244" s="80"/>
      <c r="O244" s="80"/>
      <c r="P244" s="80"/>
      <c r="R244" s="80"/>
      <c r="S244" s="80"/>
      <c r="T244" s="80"/>
      <c r="U244" s="80"/>
      <c r="W244" s="104">
        <f>W229*K244</f>
        <v>37506</v>
      </c>
      <c r="X244" s="104">
        <f>X229*K244</f>
        <v>58134.299999999996</v>
      </c>
      <c r="Y244" s="104">
        <f>Y229*K244</f>
        <v>208158.3</v>
      </c>
    </row>
    <row r="245" spans="1:25" x14ac:dyDescent="0.2">
      <c r="A245" s="264" t="s">
        <v>163</v>
      </c>
      <c r="B245" s="75" t="s">
        <v>135</v>
      </c>
      <c r="C245" s="265">
        <v>0.84489999999999998</v>
      </c>
      <c r="D245" s="270"/>
      <c r="E245" s="270">
        <v>0.92589999999999995</v>
      </c>
      <c r="F245" s="265"/>
      <c r="G245" s="265"/>
      <c r="H245" s="267"/>
      <c r="I245" s="30">
        <v>0.84489999999999998</v>
      </c>
      <c r="J245" s="30">
        <v>0.92589999999999995</v>
      </c>
      <c r="L245" s="80">
        <f>L231*I245</f>
        <v>15.2082</v>
      </c>
      <c r="M245" s="80">
        <f>M231*I245</f>
        <v>9.2939000000000007</v>
      </c>
      <c r="O245" s="102">
        <f>O231*I245</f>
        <v>76.885899999999992</v>
      </c>
      <c r="P245" s="102">
        <f>P231*I245</f>
        <v>86.1798</v>
      </c>
      <c r="R245" s="102">
        <f>R231*J245</f>
        <v>94.441800000000001</v>
      </c>
      <c r="S245" s="102">
        <f>S231*J245</f>
        <v>4571.1682999999994</v>
      </c>
      <c r="T245" s="102">
        <f>T231*J245</f>
        <v>617.57529999999997</v>
      </c>
      <c r="U245" s="102">
        <f>U231*J245</f>
        <v>929.60359999999991</v>
      </c>
      <c r="W245" s="103">
        <f>W231*K245</f>
        <v>0</v>
      </c>
      <c r="X245" s="103">
        <f>X231*K245</f>
        <v>0</v>
      </c>
      <c r="Y245" s="103">
        <f>Y231*K245</f>
        <v>0</v>
      </c>
    </row>
    <row r="246" spans="1:25" x14ac:dyDescent="0.2">
      <c r="A246" s="261" t="s">
        <v>164</v>
      </c>
      <c r="B246" s="75"/>
      <c r="C246" s="265"/>
      <c r="D246" s="270"/>
      <c r="E246" s="265"/>
      <c r="F246" s="265"/>
      <c r="G246" s="265"/>
      <c r="H246" s="267"/>
      <c r="M246" s="80"/>
      <c r="O246" s="102"/>
      <c r="P246" s="102"/>
      <c r="R246" s="102"/>
      <c r="S246" s="102"/>
      <c r="T246" s="102"/>
      <c r="U246" s="102"/>
      <c r="W246" s="103"/>
      <c r="X246" s="103"/>
      <c r="Y246" s="103"/>
    </row>
    <row r="247" spans="1:25" x14ac:dyDescent="0.2">
      <c r="A247" s="264" t="s">
        <v>165</v>
      </c>
      <c r="B247" s="75" t="s">
        <v>166</v>
      </c>
      <c r="C247" s="265"/>
      <c r="D247" s="270"/>
      <c r="E247" s="270">
        <v>40.15</v>
      </c>
      <c r="F247" s="265"/>
      <c r="G247" s="270">
        <v>40.15</v>
      </c>
      <c r="H247" s="267"/>
      <c r="J247" s="30">
        <v>40.15</v>
      </c>
      <c r="K247" s="30">
        <v>40.15</v>
      </c>
      <c r="M247" s="80"/>
      <c r="O247" s="102"/>
      <c r="P247" s="102"/>
      <c r="R247" s="103">
        <f>G247</f>
        <v>40.15</v>
      </c>
      <c r="S247" s="103">
        <f>G247</f>
        <v>40.15</v>
      </c>
      <c r="T247" s="103">
        <f>S247</f>
        <v>40.15</v>
      </c>
      <c r="U247" s="103">
        <f>S247</f>
        <v>40.15</v>
      </c>
      <c r="W247" s="103">
        <f>G247</f>
        <v>40.15</v>
      </c>
      <c r="X247" s="103">
        <f>W247</f>
        <v>40.15</v>
      </c>
      <c r="Y247" s="103">
        <f>W247</f>
        <v>40.15</v>
      </c>
    </row>
    <row r="248" spans="1:25" x14ac:dyDescent="0.2">
      <c r="A248" s="264" t="s">
        <v>167</v>
      </c>
      <c r="B248" s="75" t="s">
        <v>135</v>
      </c>
      <c r="C248" s="265">
        <v>0.7732</v>
      </c>
      <c r="D248" s="270"/>
      <c r="E248" s="265"/>
      <c r="F248" s="265"/>
      <c r="G248" s="265"/>
      <c r="H248" s="267"/>
      <c r="I248" s="30">
        <v>0.7732</v>
      </c>
      <c r="L248" s="80">
        <f>L231*I248</f>
        <v>13.9176</v>
      </c>
      <c r="M248" s="80">
        <f>M231*I248</f>
        <v>8.5052000000000003</v>
      </c>
      <c r="O248" s="102">
        <f>O231*I248</f>
        <v>70.361199999999997</v>
      </c>
      <c r="P248" s="102">
        <f>P231*I248</f>
        <v>78.866399999999999</v>
      </c>
      <c r="R248" s="102">
        <f>R231*J248</f>
        <v>0</v>
      </c>
      <c r="S248" s="102">
        <f>S231*K248</f>
        <v>0</v>
      </c>
      <c r="T248" s="102">
        <f>T231*J248</f>
        <v>0</v>
      </c>
      <c r="U248" s="102">
        <f>U231*J248</f>
        <v>0</v>
      </c>
      <c r="W248" s="103">
        <f>W231*K248</f>
        <v>0</v>
      </c>
      <c r="X248" s="103">
        <f>X231*K248</f>
        <v>0</v>
      </c>
      <c r="Y248" s="103">
        <f>Y231*K248</f>
        <v>0</v>
      </c>
    </row>
    <row r="249" spans="1:25" x14ac:dyDescent="0.2">
      <c r="A249" s="261" t="s">
        <v>168</v>
      </c>
      <c r="B249" s="75"/>
      <c r="C249" s="75"/>
      <c r="D249" s="270"/>
      <c r="E249" s="75"/>
      <c r="F249" s="75"/>
      <c r="G249" s="75"/>
      <c r="H249" s="267"/>
      <c r="M249" s="80"/>
      <c r="O249" s="102"/>
      <c r="P249" s="102"/>
      <c r="R249" s="102"/>
      <c r="S249" s="102"/>
      <c r="T249" s="102"/>
      <c r="U249" s="102"/>
      <c r="W249" s="103"/>
      <c r="X249" s="103"/>
      <c r="Y249" s="103"/>
    </row>
    <row r="250" spans="1:25" x14ac:dyDescent="0.2">
      <c r="A250" s="264" t="s">
        <v>169</v>
      </c>
      <c r="B250" s="75" t="s">
        <v>170</v>
      </c>
      <c r="C250" s="265">
        <v>5</v>
      </c>
      <c r="D250" s="270"/>
      <c r="E250" s="270">
        <v>28.72</v>
      </c>
      <c r="F250" s="75"/>
      <c r="G250" s="270">
        <v>28.72</v>
      </c>
      <c r="H250" s="267"/>
      <c r="I250" s="101">
        <v>5</v>
      </c>
      <c r="J250" s="30">
        <v>28.72</v>
      </c>
      <c r="K250" s="30">
        <v>28.72</v>
      </c>
      <c r="L250" s="80">
        <v>5</v>
      </c>
      <c r="M250" s="80">
        <v>5</v>
      </c>
      <c r="O250" s="102">
        <v>5</v>
      </c>
      <c r="P250" s="102">
        <v>5</v>
      </c>
      <c r="R250" s="103">
        <f>G250</f>
        <v>28.72</v>
      </c>
      <c r="S250" s="103">
        <f>G250</f>
        <v>28.72</v>
      </c>
      <c r="T250" s="103">
        <f>S250</f>
        <v>28.72</v>
      </c>
      <c r="U250" s="103">
        <f>S250</f>
        <v>28.72</v>
      </c>
      <c r="W250" s="103">
        <f>G250</f>
        <v>28.72</v>
      </c>
      <c r="X250" s="103">
        <f>W250</f>
        <v>28.72</v>
      </c>
      <c r="Y250" s="103">
        <f>W250</f>
        <v>28.72</v>
      </c>
    </row>
    <row r="251" spans="1:25" x14ac:dyDescent="0.2">
      <c r="A251" s="264" t="s">
        <v>171</v>
      </c>
      <c r="B251" s="75" t="s">
        <v>135</v>
      </c>
      <c r="C251" s="265">
        <v>0.45689999999999997</v>
      </c>
      <c r="D251" s="265"/>
      <c r="E251" s="265"/>
      <c r="F251" s="265"/>
      <c r="G251" s="265"/>
      <c r="H251" s="267"/>
      <c r="I251" s="30">
        <v>0.45689999999999997</v>
      </c>
      <c r="L251" s="80">
        <f>L231*I251</f>
        <v>8.2241999999999997</v>
      </c>
      <c r="M251" s="80">
        <f>M231*I251</f>
        <v>5.0259</v>
      </c>
      <c r="O251" s="102">
        <f>O231*I251</f>
        <v>41.5779</v>
      </c>
      <c r="P251" s="102">
        <f>P231*I251</f>
        <v>46.6038</v>
      </c>
      <c r="R251" s="102"/>
      <c r="S251" s="102"/>
      <c r="T251" s="102"/>
      <c r="U251" s="102"/>
      <c r="W251" s="103"/>
      <c r="X251" s="103"/>
      <c r="Y251" s="103"/>
    </row>
    <row r="252" spans="1:25" x14ac:dyDescent="0.2">
      <c r="A252" s="261" t="s">
        <v>172</v>
      </c>
      <c r="B252" s="75" t="s">
        <v>135</v>
      </c>
      <c r="C252" s="265" t="e">
        <f>#REF!</f>
        <v>#REF!</v>
      </c>
      <c r="D252" s="270"/>
      <c r="E252" s="270" t="e">
        <f>C252</f>
        <v>#REF!</v>
      </c>
      <c r="F252" s="270"/>
      <c r="G252" s="270" t="e">
        <f>C252</f>
        <v>#REF!</v>
      </c>
      <c r="H252" s="267"/>
      <c r="I252" s="64">
        <v>7.8299999999999995E-2</v>
      </c>
      <c r="J252" s="64">
        <f>I252</f>
        <v>7.8299999999999995E-2</v>
      </c>
      <c r="K252" s="64">
        <f>I252</f>
        <v>7.8299999999999995E-2</v>
      </c>
      <c r="L252" s="80">
        <f>-(L232+L233+L240+L241+L245+L248+L250+L251)*5%</f>
        <v>-6.7715800000000002</v>
      </c>
      <c r="M252" s="80">
        <f>-(M232+M233+M240+M241+M245+M248+M250+M251)*25%</f>
        <v>-21.177050000000001</v>
      </c>
      <c r="O252" s="102">
        <f>O231*I252</f>
        <v>7.1252999999999993</v>
      </c>
      <c r="P252" s="102">
        <f>P231*I252</f>
        <v>7.9865999999999993</v>
      </c>
      <c r="R252" s="102">
        <f>R231*J252</f>
        <v>7.9865999999999993</v>
      </c>
      <c r="S252" s="102">
        <f>S231*J252</f>
        <v>386.56709999999998</v>
      </c>
      <c r="T252" s="102">
        <f>T231*J252</f>
        <v>52.226099999999995</v>
      </c>
      <c r="U252" s="102">
        <f>U231*J252</f>
        <v>78.613199999999992</v>
      </c>
      <c r="W252" s="103">
        <f>W231*K252</f>
        <v>-50918.49</v>
      </c>
      <c r="X252" s="103">
        <f>X231*K252</f>
        <v>-54919.619999999995</v>
      </c>
      <c r="Y252" s="103">
        <f>Y231*K252</f>
        <v>-440179.11</v>
      </c>
    </row>
    <row r="253" spans="1:25" x14ac:dyDescent="0.2">
      <c r="A253" s="261" t="s">
        <v>173</v>
      </c>
      <c r="B253" s="75"/>
      <c r="C253" s="265" t="e">
        <f>#REF!</f>
        <v>#REF!</v>
      </c>
      <c r="D253" s="270"/>
      <c r="E253" s="270" t="e">
        <f>C253</f>
        <v>#REF!</v>
      </c>
      <c r="F253" s="270"/>
      <c r="G253" s="270" t="e">
        <f>C253</f>
        <v>#REF!</v>
      </c>
      <c r="H253" s="267"/>
      <c r="I253" s="30">
        <v>1.2999999999999999E-3</v>
      </c>
      <c r="J253" s="64">
        <f>I253</f>
        <v>1.2999999999999999E-3</v>
      </c>
      <c r="K253" s="64">
        <f>I253</f>
        <v>1.2999999999999999E-3</v>
      </c>
      <c r="L253" s="106">
        <f>L231*I253</f>
        <v>2.3399999999999997E-2</v>
      </c>
      <c r="M253" s="106">
        <f>M231*I253</f>
        <v>1.43E-2</v>
      </c>
      <c r="O253" s="80">
        <f>-(O232+O233+O240+O241+O245+O248+O250+O251+O252)*5%</f>
        <v>-33.576475000000009</v>
      </c>
      <c r="P253" s="107">
        <f>P231*I253</f>
        <v>0.1326</v>
      </c>
      <c r="R253" s="107">
        <f>R231*K253</f>
        <v>0.1326</v>
      </c>
      <c r="S253" s="107">
        <f>S231*J253</f>
        <v>6.4180999999999999</v>
      </c>
      <c r="T253" s="107">
        <f>T231*J253</f>
        <v>0.86709999999999998</v>
      </c>
      <c r="U253" s="107">
        <f>U231*J253</f>
        <v>1.3051999999999999</v>
      </c>
      <c r="W253" s="104">
        <f>W231*K253</f>
        <v>-845.39</v>
      </c>
      <c r="X253" s="104">
        <f>X231*K253</f>
        <v>-911.81999999999994</v>
      </c>
      <c r="Y253" s="104">
        <f>Y231*K253</f>
        <v>-7308.21</v>
      </c>
    </row>
    <row r="254" spans="1:25" x14ac:dyDescent="0.2">
      <c r="A254" s="261" t="s">
        <v>174</v>
      </c>
      <c r="B254" s="75"/>
      <c r="C254" s="265"/>
      <c r="D254" s="265"/>
      <c r="E254" s="265"/>
      <c r="F254" s="265"/>
      <c r="G254" s="265"/>
      <c r="H254" s="267"/>
      <c r="M254" s="80"/>
      <c r="O254" s="80"/>
      <c r="P254" s="80"/>
      <c r="R254" s="80"/>
      <c r="S254" s="80"/>
      <c r="T254" s="80"/>
      <c r="U254" s="80"/>
      <c r="W254" s="97"/>
      <c r="X254" s="97"/>
      <c r="Y254" s="97"/>
    </row>
    <row r="255" spans="1:25" x14ac:dyDescent="0.2">
      <c r="A255" s="264" t="s">
        <v>175</v>
      </c>
      <c r="B255" s="75" t="s">
        <v>135</v>
      </c>
      <c r="C255" s="265">
        <f>0.1163</f>
        <v>0.1163</v>
      </c>
      <c r="D255" s="265"/>
      <c r="E255" s="265">
        <f>C255</f>
        <v>0.1163</v>
      </c>
      <c r="F255" s="265"/>
      <c r="G255" s="265">
        <f>C255</f>
        <v>0.1163</v>
      </c>
      <c r="H255" s="271"/>
      <c r="I255" s="30">
        <v>0.1163</v>
      </c>
      <c r="J255" s="64">
        <f>I255</f>
        <v>0.1163</v>
      </c>
      <c r="K255" s="64">
        <f>I255</f>
        <v>0.1163</v>
      </c>
      <c r="L255" s="80">
        <f>L231*I255</f>
        <v>2.0933999999999999</v>
      </c>
      <c r="M255" s="80">
        <f>M231*I255</f>
        <v>1.2793000000000001</v>
      </c>
      <c r="O255" s="80">
        <f>O231*I255</f>
        <v>10.583299999999999</v>
      </c>
      <c r="P255" s="80">
        <f>P231*I255</f>
        <v>11.8626</v>
      </c>
      <c r="R255" s="80">
        <f>R231*J255</f>
        <v>11.8626</v>
      </c>
      <c r="S255" s="80">
        <f>S231*J255</f>
        <v>574.17309999999998</v>
      </c>
      <c r="T255" s="80">
        <f>T231*J255</f>
        <v>77.572100000000006</v>
      </c>
      <c r="U255" s="80">
        <f>U231*J255</f>
        <v>116.76520000000001</v>
      </c>
      <c r="W255" s="97">
        <f>W231*K255</f>
        <v>-75629.89</v>
      </c>
      <c r="X255" s="97">
        <f>X231*K255</f>
        <v>-81572.820000000007</v>
      </c>
      <c r="Y255" s="97">
        <f>Y231*K255</f>
        <v>-653803.71</v>
      </c>
    </row>
    <row r="256" spans="1:25" x14ac:dyDescent="0.2">
      <c r="A256" s="264" t="s">
        <v>176</v>
      </c>
      <c r="B256" s="75" t="s">
        <v>135</v>
      </c>
      <c r="C256" s="265">
        <v>2.5000000000000001E-3</v>
      </c>
      <c r="D256" s="265"/>
      <c r="E256" s="265">
        <v>2.5000000000000001E-3</v>
      </c>
      <c r="F256" s="265"/>
      <c r="G256" s="270">
        <f>C256</f>
        <v>2.5000000000000001E-3</v>
      </c>
      <c r="H256" s="267"/>
      <c r="I256" s="30">
        <v>2.5000000000000001E-3</v>
      </c>
      <c r="J256" s="64">
        <f>I256</f>
        <v>2.5000000000000001E-3</v>
      </c>
      <c r="K256" s="64">
        <f>I256</f>
        <v>2.5000000000000001E-3</v>
      </c>
      <c r="L256" s="80">
        <f>$L$141*I256</f>
        <v>1.7500000000000002E-2</v>
      </c>
      <c r="M256" s="80">
        <f>M231*I256</f>
        <v>2.75E-2</v>
      </c>
      <c r="O256" s="80">
        <f>O231*I256</f>
        <v>0.22750000000000001</v>
      </c>
      <c r="P256" s="80">
        <f>P231*I256</f>
        <v>0.255</v>
      </c>
      <c r="R256" s="80">
        <f>R231*J256</f>
        <v>0.255</v>
      </c>
      <c r="S256" s="80">
        <f>S231*J256</f>
        <v>12.342500000000001</v>
      </c>
      <c r="T256" s="80">
        <f>T231*J256</f>
        <v>1.6675</v>
      </c>
      <c r="U256" s="80">
        <f>U231*J256</f>
        <v>2.5100000000000002</v>
      </c>
      <c r="W256" s="97">
        <f>W231*K256</f>
        <v>-1625.75</v>
      </c>
      <c r="X256" s="97">
        <f>X231*K256</f>
        <v>-1753.5</v>
      </c>
      <c r="Y256" s="97">
        <f>Y231*K256</f>
        <v>-14054.25</v>
      </c>
    </row>
    <row r="257" spans="1:26" x14ac:dyDescent="0.2">
      <c r="A257" s="264" t="s">
        <v>200</v>
      </c>
      <c r="B257" s="75" t="s">
        <v>135</v>
      </c>
      <c r="C257" s="265">
        <f>0.1938</f>
        <v>0.1938</v>
      </c>
      <c r="D257" s="265"/>
      <c r="E257" s="265">
        <f>C257</f>
        <v>0.1938</v>
      </c>
      <c r="F257" s="265"/>
      <c r="G257" s="270">
        <f>C257</f>
        <v>0.1938</v>
      </c>
      <c r="H257" s="271" t="s">
        <v>201</v>
      </c>
      <c r="I257" s="30">
        <v>0.1938</v>
      </c>
      <c r="J257" s="64">
        <f>I257</f>
        <v>0.1938</v>
      </c>
      <c r="K257" s="64">
        <f>I257</f>
        <v>0.1938</v>
      </c>
      <c r="L257" s="80">
        <f>$L$141*I257</f>
        <v>1.3566</v>
      </c>
      <c r="M257" s="80">
        <f>M231*I257</f>
        <v>2.1318000000000001</v>
      </c>
      <c r="O257" s="80">
        <f>O231*I257</f>
        <v>17.6358</v>
      </c>
      <c r="P257" s="80">
        <f>P231*I257</f>
        <v>19.767600000000002</v>
      </c>
      <c r="R257" s="80">
        <f>R231*J257</f>
        <v>19.767600000000002</v>
      </c>
      <c r="S257" s="80">
        <f>S231*J257</f>
        <v>956.79060000000004</v>
      </c>
      <c r="T257" s="80">
        <f>T231*J257</f>
        <v>129.2646</v>
      </c>
      <c r="U257" s="80">
        <f>U231*J257</f>
        <v>194.5752</v>
      </c>
      <c r="W257" s="97">
        <f>W231*K257</f>
        <v>-126028.14</v>
      </c>
      <c r="X257" s="97">
        <f>X231*K257</f>
        <v>-135931.32</v>
      </c>
      <c r="Y257" s="97">
        <f>Y231*K257</f>
        <v>-1089485.46</v>
      </c>
    </row>
    <row r="258" spans="1:26" x14ac:dyDescent="0.2">
      <c r="A258" s="272" t="s">
        <v>177</v>
      </c>
      <c r="B258" s="273" t="s">
        <v>135</v>
      </c>
      <c r="C258" s="274">
        <v>0.40039999999999998</v>
      </c>
      <c r="D258" s="274"/>
      <c r="E258" s="274">
        <v>0.40039999999999998</v>
      </c>
      <c r="F258" s="274"/>
      <c r="G258" s="275">
        <f>C258</f>
        <v>0.40039999999999998</v>
      </c>
      <c r="H258" s="276"/>
      <c r="I258" s="30">
        <v>0.40039999999999998</v>
      </c>
      <c r="J258" s="64">
        <f>I258</f>
        <v>0.40039999999999998</v>
      </c>
      <c r="K258" s="64">
        <f>I258</f>
        <v>0.40039999999999998</v>
      </c>
      <c r="L258" s="80">
        <f>L231*I258</f>
        <v>7.2071999999999994</v>
      </c>
      <c r="M258" s="80">
        <f>M231*I258</f>
        <v>4.4043999999999999</v>
      </c>
      <c r="O258" s="80">
        <f>O231*I258</f>
        <v>36.436399999999999</v>
      </c>
      <c r="P258" s="80">
        <f>P231*I258</f>
        <v>40.840799999999994</v>
      </c>
      <c r="R258" s="80">
        <f>R231*J258</f>
        <v>40.840799999999994</v>
      </c>
      <c r="S258" s="80">
        <f>S231*J258</f>
        <v>1976.7747999999999</v>
      </c>
      <c r="T258" s="80">
        <f>T231*J258</f>
        <v>267.0668</v>
      </c>
      <c r="U258" s="80">
        <f>U231*J258</f>
        <v>402.0016</v>
      </c>
      <c r="W258" s="97">
        <f>W231*K258</f>
        <v>-260380.12</v>
      </c>
      <c r="X258" s="97">
        <f>X231*K258</f>
        <v>-280840.56</v>
      </c>
      <c r="Y258" s="97">
        <f>Y231*K258</f>
        <v>-2250928.6799999997</v>
      </c>
    </row>
    <row r="259" spans="1:26" ht="13.5" thickBot="1" x14ac:dyDescent="0.25">
      <c r="A259" s="277" t="s">
        <v>178</v>
      </c>
      <c r="B259" s="278"/>
      <c r="C259" s="279" t="e">
        <f>C236+C237+C240+C241+C245+C248+C251+C252+C253+C255+C256+C257+C258</f>
        <v>#REF!</v>
      </c>
      <c r="D259" s="280"/>
      <c r="E259" s="279" t="e">
        <f>E236+E237+E240+E241+E245+E248+E251+E252+E253+E255+E256+E257+E258</f>
        <v>#REF!</v>
      </c>
      <c r="F259" s="280"/>
      <c r="G259" s="279" t="e">
        <f>G236+G237+G240+G241+G245+G248+G251+G252+G253+G255+G256+G257+G258</f>
        <v>#REF!</v>
      </c>
      <c r="H259" s="279"/>
      <c r="I259" s="279">
        <v>9.1323000000000008</v>
      </c>
      <c r="J259" s="279">
        <v>8.5822000000000003</v>
      </c>
      <c r="K259" s="279">
        <v>5.9946000000000002</v>
      </c>
      <c r="L259" s="115">
        <f>SUM(L232:L258)</f>
        <v>135.29551999999998</v>
      </c>
      <c r="M259" s="116">
        <f>SUM(M232:M258)</f>
        <v>68.905749999999983</v>
      </c>
      <c r="O259" s="117">
        <f>SUM(O232:O258)</f>
        <v>682.29732500000023</v>
      </c>
      <c r="P259" s="117">
        <f>SUM(P232:P258)</f>
        <v>801.93619999999999</v>
      </c>
      <c r="R259" s="117">
        <f>SUM(R232:R258)</f>
        <v>772.49660000000006</v>
      </c>
      <c r="S259" s="117">
        <f>SUM(S232:S258)</f>
        <v>34125.777099999999</v>
      </c>
      <c r="T259" s="117">
        <f>SUM(T232:T258)</f>
        <v>4670.0361000000003</v>
      </c>
      <c r="U259" s="117">
        <f>SUM(U232:U258)</f>
        <v>6994.7631999999985</v>
      </c>
    </row>
    <row r="260" spans="1:26" ht="14.25" thickTop="1" thickBot="1" x14ac:dyDescent="0.25">
      <c r="A260" s="277" t="s">
        <v>179</v>
      </c>
      <c r="B260" s="278" t="s">
        <v>166</v>
      </c>
      <c r="C260" s="281">
        <f>C250</f>
        <v>5</v>
      </c>
      <c r="D260" s="281"/>
      <c r="E260" s="281">
        <f>E247+E250</f>
        <v>68.87</v>
      </c>
      <c r="F260" s="281"/>
      <c r="G260" s="281">
        <f>G247+G250</f>
        <v>68.87</v>
      </c>
      <c r="H260" s="279"/>
      <c r="I260" s="120">
        <f>I232+I233+I234+I235+I240+I241+I245+I248+I251</f>
        <v>7.2462000000000009</v>
      </c>
      <c r="J260" s="64" t="e">
        <f>E259-J259</f>
        <v>#REF!</v>
      </c>
      <c r="K260" s="64" t="e">
        <f>G259-K259</f>
        <v>#REF!</v>
      </c>
      <c r="M260" s="30" t="s">
        <v>180</v>
      </c>
      <c r="O260" s="121">
        <f>O231*I262</f>
        <v>8.7360000000000007</v>
      </c>
      <c r="P260" s="121">
        <f>P231*I262</f>
        <v>9.7919999999999998</v>
      </c>
      <c r="R260" s="121">
        <f>R231*J262</f>
        <v>9.7919999999999998</v>
      </c>
      <c r="S260" s="121">
        <f>S231*K262</f>
        <v>473.952</v>
      </c>
      <c r="T260" s="121">
        <f>T231*J262</f>
        <v>64.031999999999996</v>
      </c>
      <c r="U260" s="121">
        <f>U231*J262</f>
        <v>96.384</v>
      </c>
    </row>
    <row r="261" spans="1:26" ht="14.25" thickTop="1" thickBot="1" x14ac:dyDescent="0.25">
      <c r="A261" s="277" t="s">
        <v>181</v>
      </c>
      <c r="B261" s="282" t="s">
        <v>158</v>
      </c>
      <c r="C261" s="279"/>
      <c r="D261" s="279"/>
      <c r="E261" s="279"/>
      <c r="F261" s="279"/>
      <c r="G261" s="279" t="e">
        <f>G239+G244</f>
        <v>#REF!</v>
      </c>
      <c r="H261" s="279"/>
      <c r="I261" s="30" t="s">
        <v>182</v>
      </c>
      <c r="J261" s="30" t="s">
        <v>182</v>
      </c>
      <c r="K261" s="30" t="s">
        <v>182</v>
      </c>
      <c r="M261" s="30" t="s">
        <v>183</v>
      </c>
      <c r="O261" s="121">
        <f>O231*I263</f>
        <v>0.10919999999999999</v>
      </c>
      <c r="P261" s="121">
        <f>P231*I263</f>
        <v>0.12239999999999999</v>
      </c>
      <c r="R261" s="121">
        <f>R231*J263</f>
        <v>0.12239999999999999</v>
      </c>
      <c r="S261" s="121">
        <f>S231*K263</f>
        <v>5.9243999999999994</v>
      </c>
      <c r="T261" s="121">
        <f>T231*J263</f>
        <v>0.80039999999999989</v>
      </c>
      <c r="U261" s="121">
        <f>U231*J263</f>
        <v>1.2047999999999999</v>
      </c>
    </row>
    <row r="262" spans="1:26" ht="13.5" thickTop="1" x14ac:dyDescent="0.2">
      <c r="A262" s="75"/>
      <c r="B262" s="75"/>
      <c r="C262" s="75"/>
      <c r="D262" s="1010" t="s">
        <v>184</v>
      </c>
      <c r="E262" s="1010"/>
      <c r="F262" s="1011"/>
      <c r="G262" s="1012" t="s">
        <v>185</v>
      </c>
      <c r="H262" s="1010"/>
      <c r="I262" s="30">
        <v>9.6000000000000002E-2</v>
      </c>
      <c r="J262" s="64">
        <f>I262</f>
        <v>9.6000000000000002E-2</v>
      </c>
      <c r="K262" s="64">
        <f>I262</f>
        <v>9.6000000000000002E-2</v>
      </c>
      <c r="M262" s="30" t="s">
        <v>186</v>
      </c>
      <c r="O262" s="121">
        <f>O231*I264</f>
        <v>1.1193</v>
      </c>
      <c r="P262" s="121">
        <f>P231*I264</f>
        <v>1.2545999999999999</v>
      </c>
      <c r="R262" s="121">
        <f>R231*J264</f>
        <v>1.2545999999999999</v>
      </c>
      <c r="S262" s="121">
        <f>S231*J264</f>
        <v>60.725099999999998</v>
      </c>
      <c r="T262" s="121">
        <f>T231*J264</f>
        <v>8.2041000000000004</v>
      </c>
      <c r="U262" s="121">
        <f>U231*J264</f>
        <v>12.3492</v>
      </c>
    </row>
    <row r="263" spans="1:26" x14ac:dyDescent="0.2">
      <c r="A263" s="75"/>
      <c r="B263" s="75"/>
      <c r="C263" s="75"/>
      <c r="D263" s="283" t="s">
        <v>187</v>
      </c>
      <c r="E263" s="284" t="s">
        <v>188</v>
      </c>
      <c r="F263" s="285" t="s">
        <v>189</v>
      </c>
      <c r="G263" s="1013" t="s">
        <v>190</v>
      </c>
      <c r="H263" s="1014"/>
      <c r="I263" s="64">
        <v>1.1999999999999999E-3</v>
      </c>
      <c r="J263" s="64">
        <f>I263</f>
        <v>1.1999999999999999E-3</v>
      </c>
      <c r="K263" s="64">
        <f>I263</f>
        <v>1.1999999999999999E-3</v>
      </c>
      <c r="M263" s="30" t="s">
        <v>191</v>
      </c>
      <c r="O263" s="121">
        <f>(SUM(O237,O245:O252))*12%</f>
        <v>21.649391999999999</v>
      </c>
      <c r="P263" s="121">
        <f>(SUM(P237,P245:P252))*12%</f>
        <v>24.193823999999999</v>
      </c>
      <c r="R263" s="121">
        <f>(SUM(R237,R245:R252))*12%</f>
        <v>20.555808000000003</v>
      </c>
      <c r="S263" s="121">
        <f>(SUM(S237,S245:S252))*12%</f>
        <v>603.19264799999996</v>
      </c>
      <c r="T263" s="121">
        <f>(SUM(T237,T245:T252))*12%</f>
        <v>88.640567999999988</v>
      </c>
      <c r="U263" s="121">
        <f>(SUM(U237,U245:U252))*12%</f>
        <v>129.25041599999997</v>
      </c>
    </row>
    <row r="264" spans="1:26" ht="13.5" thickBot="1" x14ac:dyDescent="0.25">
      <c r="A264" s="75"/>
      <c r="B264" s="75"/>
      <c r="C264" s="75"/>
      <c r="D264" s="286" t="e">
        <f>#REF!</f>
        <v>#REF!</v>
      </c>
      <c r="E264" s="286" t="e">
        <f>#REF!</f>
        <v>#REF!</v>
      </c>
      <c r="F264" s="286" t="e">
        <f>#REF!</f>
        <v>#REF!</v>
      </c>
      <c r="G264" s="287">
        <v>0.12</v>
      </c>
      <c r="H264" s="288"/>
      <c r="I264" s="64">
        <v>1.23E-2</v>
      </c>
      <c r="J264" s="64">
        <f>I264</f>
        <v>1.23E-2</v>
      </c>
      <c r="K264" s="64">
        <f>I264</f>
        <v>1.23E-2</v>
      </c>
      <c r="O264" s="116">
        <f>SUM(O259:O263)</f>
        <v>713.91121700000019</v>
      </c>
      <c r="P264" s="116">
        <f>SUM(P259:P263)</f>
        <v>837.29902399999992</v>
      </c>
      <c r="R264" s="116">
        <f>SUM(R259:R263)</f>
        <v>804.221408</v>
      </c>
      <c r="S264" s="116">
        <f>SUM(S259:S263)</f>
        <v>35269.571248</v>
      </c>
      <c r="T264" s="116">
        <f>SUM(T259:T263)</f>
        <v>4831.7131680000002</v>
      </c>
      <c r="U264" s="116">
        <f>SUM(U259:U263)</f>
        <v>7233.9516159999985</v>
      </c>
    </row>
    <row r="265" spans="1:26" ht="13.5" thickTop="1" x14ac:dyDescent="0.2">
      <c r="A265" s="74" t="s">
        <v>192</v>
      </c>
      <c r="B265" s="74"/>
      <c r="C265" s="289" t="s">
        <v>193</v>
      </c>
      <c r="D265" s="290" t="e">
        <f>G259+D264+E264+F264</f>
        <v>#REF!</v>
      </c>
      <c r="E265" s="75"/>
      <c r="F265" s="75"/>
      <c r="G265" s="75"/>
      <c r="H265" s="75"/>
      <c r="J265" s="97"/>
      <c r="P265" s="97">
        <v>250.02</v>
      </c>
    </row>
    <row r="266" spans="1:26" x14ac:dyDescent="0.2">
      <c r="A266" s="74"/>
      <c r="B266" s="75"/>
      <c r="C266" s="74"/>
      <c r="D266" s="75"/>
      <c r="E266" s="75"/>
      <c r="F266" s="75"/>
      <c r="G266" s="75"/>
      <c r="H266" s="75"/>
      <c r="P266" s="97">
        <f>P264-P257</f>
        <v>817.5314239999999</v>
      </c>
      <c r="Q266" s="122">
        <f>P266-P265</f>
        <v>567.51142399999992</v>
      </c>
    </row>
    <row r="267" spans="1:26" x14ac:dyDescent="0.2">
      <c r="A267" s="291" t="s">
        <v>194</v>
      </c>
      <c r="B267" s="255"/>
      <c r="C267" s="291" t="s">
        <v>195</v>
      </c>
      <c r="D267" s="75"/>
      <c r="E267" s="75"/>
      <c r="F267" s="75"/>
      <c r="G267" s="75"/>
      <c r="H267" s="75"/>
      <c r="P267" s="30">
        <v>233.11</v>
      </c>
    </row>
    <row r="268" spans="1:26" ht="13.5" thickBot="1" x14ac:dyDescent="0.25">
      <c r="A268" s="74" t="s">
        <v>196</v>
      </c>
      <c r="B268" s="75"/>
      <c r="C268" s="74" t="s">
        <v>197</v>
      </c>
      <c r="D268" s="75"/>
      <c r="E268" s="75"/>
      <c r="F268" s="75"/>
      <c r="G268" s="75"/>
      <c r="H268" s="75"/>
      <c r="P268" s="122">
        <f>P267-P264</f>
        <v>-604.1890239999999</v>
      </c>
    </row>
    <row r="269" spans="1:26" x14ac:dyDescent="0.2">
      <c r="A269" s="425" t="s">
        <v>64</v>
      </c>
      <c r="B269" s="426"/>
      <c r="C269" s="426"/>
      <c r="D269" s="426"/>
      <c r="E269" s="426"/>
      <c r="F269" s="426"/>
      <c r="G269" s="426"/>
      <c r="H269" s="427"/>
    </row>
    <row r="270" spans="1:26" x14ac:dyDescent="0.2">
      <c r="A270" s="417" t="s">
        <v>0</v>
      </c>
      <c r="B270" s="418"/>
      <c r="C270" s="418"/>
      <c r="D270" s="418"/>
      <c r="E270" s="418"/>
      <c r="F270" s="418"/>
      <c r="G270" s="418"/>
      <c r="H270" s="419"/>
    </row>
    <row r="271" spans="1:26" x14ac:dyDescent="0.2">
      <c r="A271" s="417"/>
      <c r="B271" s="418"/>
      <c r="C271" s="418"/>
      <c r="D271" s="418"/>
      <c r="E271" s="418"/>
      <c r="F271" s="418"/>
      <c r="G271" s="418"/>
      <c r="H271" s="419"/>
    </row>
    <row r="272" spans="1:26" x14ac:dyDescent="0.2">
      <c r="A272" s="428" t="s">
        <v>60</v>
      </c>
      <c r="B272" s="418"/>
      <c r="C272" s="418"/>
      <c r="D272" s="418"/>
      <c r="E272" s="418"/>
      <c r="F272" s="418"/>
      <c r="G272" s="418"/>
      <c r="H272" s="419"/>
      <c r="W272" s="34" t="s">
        <v>143</v>
      </c>
      <c r="X272" s="34" t="s">
        <v>144</v>
      </c>
      <c r="Y272" s="34" t="s">
        <v>1</v>
      </c>
      <c r="Z272" s="34" t="s">
        <v>222</v>
      </c>
    </row>
    <row r="273" spans="1:26" x14ac:dyDescent="0.2">
      <c r="A273" s="429" t="s">
        <v>63</v>
      </c>
      <c r="B273" s="418"/>
      <c r="C273" s="418"/>
      <c r="D273" s="418"/>
      <c r="E273" s="418"/>
      <c r="F273" s="418"/>
      <c r="G273" s="418"/>
      <c r="H273" s="419"/>
      <c r="W273" s="83" t="s">
        <v>145</v>
      </c>
      <c r="X273" s="83" t="s">
        <v>145</v>
      </c>
      <c r="Y273" s="83" t="s">
        <v>145</v>
      </c>
      <c r="Z273" s="83" t="s">
        <v>145</v>
      </c>
    </row>
    <row r="274" spans="1:26" x14ac:dyDescent="0.2">
      <c r="A274" s="429"/>
      <c r="B274" s="418"/>
      <c r="C274" s="418"/>
      <c r="D274" s="418"/>
      <c r="E274" s="418"/>
      <c r="F274" s="418"/>
      <c r="G274" s="418"/>
      <c r="H274" s="419"/>
      <c r="L274" s="257" t="s">
        <v>146</v>
      </c>
      <c r="M274" s="75" t="s">
        <v>6</v>
      </c>
      <c r="N274" s="75"/>
      <c r="O274" s="257" t="s">
        <v>146</v>
      </c>
      <c r="P274" s="413" t="s">
        <v>6</v>
      </c>
      <c r="R274" s="85" t="s">
        <v>147</v>
      </c>
      <c r="S274" s="85" t="s">
        <v>147</v>
      </c>
      <c r="T274" s="85" t="s">
        <v>147</v>
      </c>
      <c r="U274" s="85" t="s">
        <v>147</v>
      </c>
      <c r="W274" s="86">
        <f>0.2*700</f>
        <v>140</v>
      </c>
      <c r="X274" s="86">
        <f>0.31*700</f>
        <v>217</v>
      </c>
      <c r="Y274" s="86">
        <f>0.37*2100</f>
        <v>777</v>
      </c>
      <c r="Z274" s="86">
        <f>0.37*2100</f>
        <v>777</v>
      </c>
    </row>
    <row r="275" spans="1:26" x14ac:dyDescent="0.2">
      <c r="A275" s="1015"/>
      <c r="B275" s="1016"/>
      <c r="C275" s="430" t="s">
        <v>6</v>
      </c>
      <c r="D275" s="1017" t="s">
        <v>47</v>
      </c>
      <c r="E275" s="1018"/>
      <c r="F275" s="1019"/>
      <c r="G275" s="1017" t="s">
        <v>13</v>
      </c>
      <c r="H275" s="1020"/>
      <c r="I275" s="463" t="s">
        <v>6</v>
      </c>
      <c r="J275" s="430" t="s">
        <v>47</v>
      </c>
      <c r="K275" s="430" t="s">
        <v>13</v>
      </c>
      <c r="L275" s="257" t="s">
        <v>130</v>
      </c>
      <c r="M275" s="260" t="s">
        <v>148</v>
      </c>
      <c r="N275" s="75"/>
      <c r="O275" s="257" t="s">
        <v>130</v>
      </c>
      <c r="P275" s="414" t="s">
        <v>130</v>
      </c>
      <c r="R275" s="80" t="s">
        <v>130</v>
      </c>
      <c r="S275" s="80" t="s">
        <v>130</v>
      </c>
      <c r="T275" s="80" t="s">
        <v>130</v>
      </c>
      <c r="U275" s="80" t="s">
        <v>130</v>
      </c>
      <c r="W275" s="89" t="s">
        <v>130</v>
      </c>
      <c r="X275" s="89" t="s">
        <v>130</v>
      </c>
      <c r="Y275" s="89" t="s">
        <v>130</v>
      </c>
      <c r="Z275" s="89" t="s">
        <v>130</v>
      </c>
    </row>
    <row r="276" spans="1:26" x14ac:dyDescent="0.2">
      <c r="A276" s="428" t="s">
        <v>149</v>
      </c>
      <c r="B276" s="418"/>
      <c r="C276" s="431"/>
      <c r="D276" s="431"/>
      <c r="E276" s="431"/>
      <c r="F276" s="431"/>
      <c r="G276" s="431"/>
      <c r="H276" s="432"/>
      <c r="J276" s="93"/>
      <c r="L276" s="93">
        <v>18</v>
      </c>
      <c r="M276" s="93">
        <v>20</v>
      </c>
      <c r="O276" s="93">
        <v>112</v>
      </c>
      <c r="P276" s="93">
        <v>102</v>
      </c>
      <c r="R276" s="93">
        <v>102</v>
      </c>
      <c r="S276" s="93">
        <v>4937</v>
      </c>
      <c r="T276" s="93">
        <v>667</v>
      </c>
      <c r="U276" s="93">
        <v>1004</v>
      </c>
      <c r="W276" s="94">
        <f>(0-982)*700</f>
        <v>-687400</v>
      </c>
      <c r="X276" s="94">
        <f>(0-1101)*700</f>
        <v>-770700</v>
      </c>
      <c r="Y276" s="94">
        <v>500</v>
      </c>
      <c r="Z276" s="94">
        <v>500</v>
      </c>
    </row>
    <row r="277" spans="1:26" x14ac:dyDescent="0.2">
      <c r="A277" s="417" t="s">
        <v>150</v>
      </c>
      <c r="B277" s="418" t="s">
        <v>135</v>
      </c>
      <c r="C277" s="433" t="e">
        <f>C281-C278-C279-C280</f>
        <v>#REF!</v>
      </c>
      <c r="D277" s="433"/>
      <c r="E277" s="433" t="e">
        <f>E281-E278-E279-E280</f>
        <v>#REF!</v>
      </c>
      <c r="F277" s="433"/>
      <c r="G277" s="433" t="e">
        <f>G281-G278-G279-G280</f>
        <v>#REF!</v>
      </c>
      <c r="H277" s="419"/>
      <c r="I277" s="30">
        <v>4.0871000000000004</v>
      </c>
      <c r="J277" s="30">
        <f>I277</f>
        <v>4.0871000000000004</v>
      </c>
      <c r="K277" s="30">
        <f>J277</f>
        <v>4.0871000000000004</v>
      </c>
      <c r="L277" s="80">
        <f>L276*(I277+I279+I280)</f>
        <v>84.475800000000007</v>
      </c>
      <c r="M277" s="80">
        <f>M276*(I277+I279+I280)</f>
        <v>93.862000000000009</v>
      </c>
      <c r="O277" s="80">
        <f>O276*(I277+I279+I280)</f>
        <v>525.62720000000002</v>
      </c>
      <c r="P277" s="80">
        <f>P276*(I277+I279+I280)</f>
        <v>478.69620000000003</v>
      </c>
      <c r="R277" s="80">
        <f>R276*(J277+J279+J280)</f>
        <v>478.69620000000003</v>
      </c>
      <c r="S277" s="80">
        <f>S276*(J277+J279+J280)</f>
        <v>23169.834700000003</v>
      </c>
      <c r="T277" s="80">
        <f>T276*(J277+J279+J280)</f>
        <v>3130.2977000000001</v>
      </c>
      <c r="U277" s="80">
        <f>U276*(J277+J279+J280)</f>
        <v>4711.8724000000002</v>
      </c>
      <c r="W277" s="97">
        <f>W276*(K277+K279+K280)</f>
        <v>-3226036.9400000004</v>
      </c>
      <c r="X277" s="97">
        <f>X276*(K277+K279+K280)</f>
        <v>-3616972.1700000004</v>
      </c>
      <c r="Y277" s="97">
        <f>Y276*(K277+K279+K280)</f>
        <v>2346.5500000000002</v>
      </c>
    </row>
    <row r="278" spans="1:26" x14ac:dyDescent="0.2">
      <c r="A278" s="417" t="s">
        <v>151</v>
      </c>
      <c r="B278" s="418" t="s">
        <v>135</v>
      </c>
      <c r="C278" s="433">
        <v>1.77E-2</v>
      </c>
      <c r="D278" s="433"/>
      <c r="E278" s="433">
        <v>1.77E-2</v>
      </c>
      <c r="F278" s="433"/>
      <c r="G278" s="433">
        <v>1.77E-2</v>
      </c>
      <c r="H278" s="434"/>
      <c r="I278" s="30">
        <v>1.77E-2</v>
      </c>
      <c r="J278" s="30">
        <v>1.77E-2</v>
      </c>
      <c r="K278" s="30">
        <v>1.77E-2</v>
      </c>
      <c r="L278" s="80">
        <f>L276*I278</f>
        <v>0.31859999999999999</v>
      </c>
      <c r="M278" s="80">
        <f>M276*I278</f>
        <v>0.35399999999999998</v>
      </c>
      <c r="O278" s="80">
        <f>O276*I278</f>
        <v>1.9824000000000002</v>
      </c>
      <c r="P278" s="80">
        <f>P276*I278</f>
        <v>1.8054000000000001</v>
      </c>
      <c r="R278" s="80">
        <f>R276*J278</f>
        <v>1.8054000000000001</v>
      </c>
      <c r="S278" s="80">
        <f>S276*J278</f>
        <v>87.384900000000002</v>
      </c>
      <c r="T278" s="80">
        <f>T276*J278</f>
        <v>11.805900000000001</v>
      </c>
      <c r="U278" s="80">
        <f>U276*J278</f>
        <v>17.770800000000001</v>
      </c>
      <c r="W278" s="97">
        <f>W276*K278</f>
        <v>-12166.98</v>
      </c>
      <c r="X278" s="97">
        <f>X276*K278</f>
        <v>-13641.390000000001</v>
      </c>
      <c r="Y278" s="97">
        <f>Y276*K278</f>
        <v>8.85</v>
      </c>
    </row>
    <row r="279" spans="1:26" x14ac:dyDescent="0.2">
      <c r="A279" s="417" t="s">
        <v>210</v>
      </c>
      <c r="B279" s="418" t="s">
        <v>135</v>
      </c>
      <c r="C279" s="433">
        <v>0.48470000000000002</v>
      </c>
      <c r="D279" s="433"/>
      <c r="E279" s="433">
        <v>0.48470000000000002</v>
      </c>
      <c r="F279" s="433"/>
      <c r="G279" s="433">
        <v>0.48470000000000002</v>
      </c>
      <c r="H279" s="434"/>
      <c r="I279" s="30">
        <v>0.48470000000000002</v>
      </c>
      <c r="J279" s="30">
        <v>0.48470000000000002</v>
      </c>
      <c r="K279" s="30">
        <v>0.48470000000000002</v>
      </c>
      <c r="M279" s="80"/>
      <c r="O279" s="80"/>
      <c r="P279" s="80"/>
      <c r="R279" s="80"/>
      <c r="S279" s="80"/>
      <c r="T279" s="80"/>
      <c r="U279" s="80"/>
      <c r="W279" s="97"/>
      <c r="X279" s="97"/>
      <c r="Y279" s="97"/>
    </row>
    <row r="280" spans="1:26" x14ac:dyDescent="0.2">
      <c r="A280" s="417" t="s">
        <v>209</v>
      </c>
      <c r="B280" s="418" t="s">
        <v>135</v>
      </c>
      <c r="C280" s="433">
        <v>0.12130000000000001</v>
      </c>
      <c r="D280" s="433"/>
      <c r="E280" s="433">
        <v>0.12130000000000001</v>
      </c>
      <c r="F280" s="433"/>
      <c r="G280" s="433">
        <v>0.12130000000000001</v>
      </c>
      <c r="H280" s="434"/>
      <c r="I280" s="30">
        <v>0.12130000000000001</v>
      </c>
      <c r="J280" s="30">
        <v>0.12130000000000001</v>
      </c>
      <c r="K280" s="30">
        <v>0.12130000000000001</v>
      </c>
      <c r="M280" s="80"/>
      <c r="O280" s="80"/>
      <c r="P280" s="80"/>
      <c r="R280" s="80"/>
      <c r="S280" s="80"/>
      <c r="T280" s="80"/>
      <c r="U280" s="80"/>
      <c r="W280" s="97"/>
      <c r="X280" s="97"/>
      <c r="Y280" s="97"/>
    </row>
    <row r="281" spans="1:26" x14ac:dyDescent="0.2">
      <c r="A281" s="417" t="s">
        <v>154</v>
      </c>
      <c r="B281" s="418"/>
      <c r="C281" s="435" t="e">
        <f>#REF!</f>
        <v>#REF!</v>
      </c>
      <c r="D281" s="435"/>
      <c r="E281" s="435" t="e">
        <f>C281</f>
        <v>#REF!</v>
      </c>
      <c r="F281" s="435"/>
      <c r="G281" s="435" t="e">
        <f>C281</f>
        <v>#REF!</v>
      </c>
      <c r="H281" s="436"/>
      <c r="M281" s="80"/>
      <c r="O281" s="80"/>
      <c r="P281" s="80"/>
      <c r="R281" s="80"/>
      <c r="S281" s="80"/>
      <c r="T281" s="80"/>
      <c r="U281" s="80"/>
      <c r="W281" s="97"/>
      <c r="X281" s="97"/>
      <c r="Y281" s="97"/>
    </row>
    <row r="282" spans="1:26" x14ac:dyDescent="0.2">
      <c r="A282" s="428" t="s">
        <v>155</v>
      </c>
      <c r="B282" s="418" t="s">
        <v>135</v>
      </c>
      <c r="C282" s="433">
        <f>(-592132.44-9982.86)/2608554</f>
        <v>-0.23082339871054997</v>
      </c>
      <c r="D282" s="433"/>
      <c r="E282" s="433"/>
      <c r="F282" s="433"/>
      <c r="G282" s="433"/>
      <c r="H282" s="419"/>
      <c r="I282" s="64">
        <v>-0.23080000000000001</v>
      </c>
      <c r="J282" s="101"/>
      <c r="K282" s="101"/>
      <c r="L282" s="80">
        <f>L276*I282</f>
        <v>-4.1543999999999999</v>
      </c>
      <c r="M282" s="80">
        <f>M276*I282</f>
        <v>-4.6159999999999997</v>
      </c>
      <c r="O282" s="102">
        <f>O276*I282</f>
        <v>-25.849600000000002</v>
      </c>
      <c r="P282" s="102">
        <f>P276*I282</f>
        <v>-23.541599999999999</v>
      </c>
      <c r="R282" s="102">
        <f>R276*J282</f>
        <v>0</v>
      </c>
      <c r="S282" s="102">
        <f>S276*K282</f>
        <v>0</v>
      </c>
      <c r="T282" s="102">
        <f>T276*J282</f>
        <v>0</v>
      </c>
      <c r="U282" s="102">
        <f>U276*J282</f>
        <v>0</v>
      </c>
      <c r="W282" s="103">
        <f>W276*K282</f>
        <v>0</v>
      </c>
      <c r="X282" s="103">
        <f>X276*K282</f>
        <v>0</v>
      </c>
      <c r="Y282" s="103">
        <f>Y276*K282</f>
        <v>0</v>
      </c>
    </row>
    <row r="283" spans="1:26" x14ac:dyDescent="0.2">
      <c r="A283" s="428" t="s">
        <v>156</v>
      </c>
      <c r="B283" s="418"/>
      <c r="C283" s="433"/>
      <c r="D283" s="433"/>
      <c r="E283" s="433"/>
      <c r="F283" s="433"/>
      <c r="G283" s="433"/>
      <c r="H283" s="419"/>
      <c r="M283" s="80"/>
      <c r="O283" s="80"/>
      <c r="P283" s="80"/>
      <c r="R283" s="80"/>
      <c r="S283" s="80"/>
      <c r="T283" s="80"/>
      <c r="U283" s="80"/>
      <c r="W283" s="97"/>
      <c r="X283" s="97"/>
      <c r="Y283" s="97"/>
    </row>
    <row r="284" spans="1:26" x14ac:dyDescent="0.2">
      <c r="A284" s="417" t="s">
        <v>157</v>
      </c>
      <c r="B284" s="418" t="s">
        <v>158</v>
      </c>
      <c r="C284" s="433"/>
      <c r="D284" s="433"/>
      <c r="E284" s="433"/>
      <c r="F284" s="433"/>
      <c r="G284" s="433" t="e">
        <f>#REF!</f>
        <v>#REF!</v>
      </c>
      <c r="H284" s="434"/>
      <c r="K284" s="64">
        <v>228.24539999999999</v>
      </c>
      <c r="M284" s="80"/>
      <c r="O284" s="80"/>
      <c r="P284" s="80"/>
      <c r="R284" s="80"/>
      <c r="S284" s="80"/>
      <c r="T284" s="80"/>
      <c r="U284" s="80"/>
      <c r="W284" s="104">
        <f>W274*K284</f>
        <v>31954.356</v>
      </c>
      <c r="X284" s="97">
        <f>X274*K284</f>
        <v>49529.251799999998</v>
      </c>
      <c r="Y284" s="97">
        <f>Y274*K284</f>
        <v>177346.6758</v>
      </c>
    </row>
    <row r="285" spans="1:26" x14ac:dyDescent="0.2">
      <c r="A285" s="417" t="s">
        <v>159</v>
      </c>
      <c r="B285" s="418" t="s">
        <v>135</v>
      </c>
      <c r="C285" s="433" t="e">
        <f>#REF!</f>
        <v>#REF!</v>
      </c>
      <c r="D285" s="433"/>
      <c r="E285" s="433" t="e">
        <f>#REF!</f>
        <v>#REF!</v>
      </c>
      <c r="F285" s="433"/>
      <c r="G285" s="433"/>
      <c r="H285" s="434"/>
      <c r="I285" s="30">
        <v>0.7228</v>
      </c>
      <c r="J285" s="64">
        <v>0.7228</v>
      </c>
      <c r="L285" s="80">
        <f>L276*I285</f>
        <v>13.010400000000001</v>
      </c>
      <c r="M285" s="80">
        <f>M276*I285</f>
        <v>14.456</v>
      </c>
      <c r="O285" s="80">
        <f>O276*I285</f>
        <v>80.953599999999994</v>
      </c>
      <c r="P285" s="80">
        <f>P276*I285</f>
        <v>73.7256</v>
      </c>
      <c r="R285" s="80">
        <f>R276*J285</f>
        <v>73.7256</v>
      </c>
      <c r="S285" s="80">
        <f>S276*J285</f>
        <v>3568.4636</v>
      </c>
      <c r="T285" s="80">
        <f>T276*J285</f>
        <v>482.10759999999999</v>
      </c>
      <c r="U285" s="80">
        <f>U276*J285</f>
        <v>725.69119999999998</v>
      </c>
      <c r="W285" s="97">
        <f>W276*K285</f>
        <v>0</v>
      </c>
      <c r="X285" s="97">
        <f>X276*K285</f>
        <v>0</v>
      </c>
      <c r="Y285" s="97">
        <f>Y276*K285</f>
        <v>0</v>
      </c>
    </row>
    <row r="286" spans="1:26" x14ac:dyDescent="0.2">
      <c r="A286" s="428" t="s">
        <v>160</v>
      </c>
      <c r="B286" s="418" t="s">
        <v>135</v>
      </c>
      <c r="C286" s="433" t="e">
        <f>#REF!</f>
        <v>#REF!</v>
      </c>
      <c r="D286" s="433"/>
      <c r="E286" s="433" t="e">
        <f>C286</f>
        <v>#REF!</v>
      </c>
      <c r="F286" s="433"/>
      <c r="G286" s="433" t="e">
        <f>C286</f>
        <v>#REF!</v>
      </c>
      <c r="H286" s="434"/>
      <c r="I286" s="30">
        <v>0.68610000000000004</v>
      </c>
      <c r="J286" s="30">
        <v>0.68610000000000004</v>
      </c>
      <c r="K286" s="30">
        <v>0.68610000000000004</v>
      </c>
      <c r="L286" s="80">
        <f>L276*I286</f>
        <v>12.3498</v>
      </c>
      <c r="M286" s="80">
        <f>M276*I286</f>
        <v>13.722000000000001</v>
      </c>
      <c r="O286" s="80">
        <f>O276*I286</f>
        <v>76.84320000000001</v>
      </c>
      <c r="P286" s="80">
        <f>P276*I286</f>
        <v>69.982200000000006</v>
      </c>
      <c r="R286" s="80">
        <f>R276*J286</f>
        <v>69.982200000000006</v>
      </c>
      <c r="S286" s="80">
        <f>S276*J286</f>
        <v>3387.2757000000001</v>
      </c>
      <c r="T286" s="80">
        <f>T276*J286</f>
        <v>457.62870000000004</v>
      </c>
      <c r="U286" s="80">
        <f>U276*J286</f>
        <v>688.84440000000006</v>
      </c>
      <c r="W286" s="97">
        <f>W276*K286</f>
        <v>-471625.14</v>
      </c>
      <c r="X286" s="97">
        <f>X276*K286</f>
        <v>-528777.27</v>
      </c>
      <c r="Y286" s="97">
        <f>Y276*K286</f>
        <v>343.05</v>
      </c>
    </row>
    <row r="287" spans="1:26" x14ac:dyDescent="0.2">
      <c r="A287" s="417"/>
      <c r="B287" s="418"/>
      <c r="C287" s="433"/>
      <c r="D287" s="433"/>
      <c r="E287" s="433"/>
      <c r="F287" s="433"/>
      <c r="G287" s="433"/>
      <c r="H287" s="434"/>
      <c r="M287" s="80"/>
      <c r="O287" s="80"/>
      <c r="P287" s="80"/>
      <c r="R287" s="80"/>
      <c r="S287" s="80"/>
      <c r="T287" s="80"/>
      <c r="U287" s="80"/>
      <c r="W287" s="97"/>
      <c r="X287" s="97"/>
      <c r="Y287" s="97"/>
    </row>
    <row r="288" spans="1:26" x14ac:dyDescent="0.2">
      <c r="A288" s="428" t="s">
        <v>161</v>
      </c>
      <c r="B288" s="418"/>
      <c r="C288" s="433"/>
      <c r="D288" s="433"/>
      <c r="E288" s="433"/>
      <c r="F288" s="433"/>
      <c r="G288" s="433"/>
      <c r="H288" s="434"/>
      <c r="M288" s="80"/>
      <c r="O288" s="80"/>
      <c r="P288" s="80"/>
      <c r="R288" s="80"/>
      <c r="S288" s="80"/>
      <c r="T288" s="80"/>
      <c r="U288" s="80"/>
      <c r="W288" s="97"/>
      <c r="X288" s="97"/>
      <c r="Y288" s="97"/>
    </row>
    <row r="289" spans="1:26" x14ac:dyDescent="0.2">
      <c r="A289" s="417" t="s">
        <v>162</v>
      </c>
      <c r="B289" s="418" t="s">
        <v>158</v>
      </c>
      <c r="C289" s="433"/>
      <c r="D289" s="433"/>
      <c r="E289" s="433"/>
      <c r="F289" s="433"/>
      <c r="G289" s="437">
        <v>267.89999999999998</v>
      </c>
      <c r="H289" s="434"/>
      <c r="K289" s="101">
        <v>267.89999999999998</v>
      </c>
      <c r="M289" s="80"/>
      <c r="O289" s="80"/>
      <c r="P289" s="80"/>
      <c r="R289" s="80"/>
      <c r="S289" s="80"/>
      <c r="T289" s="80"/>
      <c r="U289" s="80"/>
      <c r="W289" s="104">
        <f>W274*K289</f>
        <v>37506</v>
      </c>
      <c r="X289" s="104">
        <f>X274*K289</f>
        <v>58134.299999999996</v>
      </c>
      <c r="Y289" s="104">
        <f>Y274*K289</f>
        <v>208158.3</v>
      </c>
    </row>
    <row r="290" spans="1:26" x14ac:dyDescent="0.2">
      <c r="A290" s="417" t="s">
        <v>163</v>
      </c>
      <c r="B290" s="418" t="s">
        <v>135</v>
      </c>
      <c r="C290" s="433">
        <v>0.84489999999999998</v>
      </c>
      <c r="D290" s="438"/>
      <c r="E290" s="439">
        <v>0.92589999999999995</v>
      </c>
      <c r="F290" s="433"/>
      <c r="G290" s="433"/>
      <c r="H290" s="434"/>
      <c r="I290" s="30">
        <v>0.84489999999999998</v>
      </c>
      <c r="J290" s="30">
        <v>0.92589999999999995</v>
      </c>
      <c r="L290" s="80">
        <f>L276*I290</f>
        <v>15.2082</v>
      </c>
      <c r="M290" s="80">
        <f>M276*I290</f>
        <v>16.898</v>
      </c>
      <c r="O290" s="102">
        <f>O276*I290</f>
        <v>94.628799999999998</v>
      </c>
      <c r="P290" s="102">
        <f>P276*I290</f>
        <v>86.1798</v>
      </c>
      <c r="R290" s="102">
        <f>R276*J290</f>
        <v>94.441800000000001</v>
      </c>
      <c r="S290" s="102">
        <f>S276*J290</f>
        <v>4571.1682999999994</v>
      </c>
      <c r="T290" s="102">
        <f>T276*J290</f>
        <v>617.57529999999997</v>
      </c>
      <c r="U290" s="102">
        <f>U276*J290</f>
        <v>929.60359999999991</v>
      </c>
      <c r="W290" s="103">
        <f>W276*K290</f>
        <v>0</v>
      </c>
      <c r="X290" s="103">
        <f>X276*K290</f>
        <v>0</v>
      </c>
      <c r="Y290" s="103">
        <f>Y276*K290</f>
        <v>0</v>
      </c>
    </row>
    <row r="291" spans="1:26" x14ac:dyDescent="0.2">
      <c r="A291" s="428" t="s">
        <v>164</v>
      </c>
      <c r="B291" s="418"/>
      <c r="C291" s="433"/>
      <c r="D291" s="438"/>
      <c r="E291" s="433"/>
      <c r="F291" s="433"/>
      <c r="G291" s="433"/>
      <c r="H291" s="434"/>
      <c r="M291" s="80"/>
      <c r="O291" s="102"/>
      <c r="P291" s="102"/>
      <c r="R291" s="102"/>
      <c r="S291" s="102"/>
      <c r="T291" s="102"/>
      <c r="U291" s="102"/>
      <c r="W291" s="103"/>
      <c r="X291" s="103"/>
      <c r="Y291" s="103"/>
    </row>
    <row r="292" spans="1:26" x14ac:dyDescent="0.2">
      <c r="A292" s="417" t="s">
        <v>165</v>
      </c>
      <c r="B292" s="418" t="s">
        <v>166</v>
      </c>
      <c r="C292" s="433"/>
      <c r="D292" s="438"/>
      <c r="E292" s="440">
        <v>40.15</v>
      </c>
      <c r="F292" s="437"/>
      <c r="G292" s="440">
        <v>40.15</v>
      </c>
      <c r="H292" s="434"/>
      <c r="J292" s="30">
        <v>40.15</v>
      </c>
      <c r="K292" s="30">
        <v>40.15</v>
      </c>
      <c r="M292" s="80"/>
      <c r="O292" s="102"/>
      <c r="P292" s="102"/>
      <c r="R292" s="103">
        <f>G292</f>
        <v>40.15</v>
      </c>
      <c r="S292" s="103">
        <f>G292</f>
        <v>40.15</v>
      </c>
      <c r="T292" s="103">
        <f>S292</f>
        <v>40.15</v>
      </c>
      <c r="U292" s="103">
        <f>S292</f>
        <v>40.15</v>
      </c>
      <c r="W292" s="103">
        <f>G292</f>
        <v>40.15</v>
      </c>
      <c r="X292" s="103">
        <f>W292</f>
        <v>40.15</v>
      </c>
      <c r="Y292" s="103">
        <f>W292</f>
        <v>40.15</v>
      </c>
    </row>
    <row r="293" spans="1:26" x14ac:dyDescent="0.2">
      <c r="A293" s="417" t="s">
        <v>167</v>
      </c>
      <c r="B293" s="418" t="s">
        <v>135</v>
      </c>
      <c r="C293" s="433">
        <v>0.7732</v>
      </c>
      <c r="D293" s="438"/>
      <c r="E293" s="437"/>
      <c r="F293" s="437"/>
      <c r="G293" s="437"/>
      <c r="H293" s="434"/>
      <c r="I293" s="30">
        <v>0.7732</v>
      </c>
      <c r="L293" s="80">
        <f>L276*I293</f>
        <v>13.9176</v>
      </c>
      <c r="M293" s="80">
        <f>M276*I293</f>
        <v>15.464</v>
      </c>
      <c r="O293" s="102">
        <f>O276*I293</f>
        <v>86.598399999999998</v>
      </c>
      <c r="P293" s="102">
        <f>P276*I293</f>
        <v>78.866399999999999</v>
      </c>
      <c r="R293" s="102">
        <f>R276*J293</f>
        <v>0</v>
      </c>
      <c r="S293" s="102">
        <f>S276*K293</f>
        <v>0</v>
      </c>
      <c r="T293" s="102">
        <f>T276*J293</f>
        <v>0</v>
      </c>
      <c r="U293" s="102">
        <f>U276*J293</f>
        <v>0</v>
      </c>
      <c r="W293" s="103">
        <f>W276*K293</f>
        <v>0</v>
      </c>
      <c r="X293" s="103">
        <f>X276*K293</f>
        <v>0</v>
      </c>
      <c r="Y293" s="103">
        <f>Y276*K293</f>
        <v>0</v>
      </c>
    </row>
    <row r="294" spans="1:26" x14ac:dyDescent="0.2">
      <c r="A294" s="428" t="s">
        <v>168</v>
      </c>
      <c r="B294" s="418"/>
      <c r="C294" s="418"/>
      <c r="D294" s="438"/>
      <c r="E294" s="437"/>
      <c r="F294" s="437"/>
      <c r="G294" s="437"/>
      <c r="H294" s="434"/>
      <c r="M294" s="80"/>
      <c r="O294" s="102"/>
      <c r="P294" s="102"/>
      <c r="R294" s="102"/>
      <c r="S294" s="102"/>
      <c r="T294" s="102"/>
      <c r="U294" s="102"/>
      <c r="W294" s="103"/>
      <c r="X294" s="103"/>
      <c r="Y294" s="103"/>
    </row>
    <row r="295" spans="1:26" x14ac:dyDescent="0.2">
      <c r="A295" s="417" t="s">
        <v>221</v>
      </c>
      <c r="B295" s="418" t="s">
        <v>170</v>
      </c>
      <c r="C295" s="433">
        <v>5</v>
      </c>
      <c r="D295" s="438"/>
      <c r="E295" s="440">
        <v>28.72</v>
      </c>
      <c r="F295" s="437"/>
      <c r="G295" s="440">
        <v>28.72</v>
      </c>
      <c r="H295" s="434"/>
      <c r="I295" s="101">
        <v>5</v>
      </c>
      <c r="J295" s="30">
        <v>28.72</v>
      </c>
      <c r="K295" s="30">
        <v>28.72</v>
      </c>
      <c r="L295" s="80">
        <v>5</v>
      </c>
      <c r="M295" s="80">
        <v>5</v>
      </c>
      <c r="O295" s="102">
        <v>5</v>
      </c>
      <c r="P295" s="102">
        <v>5</v>
      </c>
      <c r="R295" s="103">
        <f>G295</f>
        <v>28.72</v>
      </c>
      <c r="S295" s="103">
        <f>G295</f>
        <v>28.72</v>
      </c>
      <c r="T295" s="103">
        <f>S295</f>
        <v>28.72</v>
      </c>
      <c r="U295" s="103">
        <f>S295</f>
        <v>28.72</v>
      </c>
      <c r="W295" s="103">
        <f>G295</f>
        <v>28.72</v>
      </c>
      <c r="X295" s="103">
        <f>W295</f>
        <v>28.72</v>
      </c>
      <c r="Y295" s="103">
        <f>W295</f>
        <v>28.72</v>
      </c>
    </row>
    <row r="296" spans="1:26" x14ac:dyDescent="0.2">
      <c r="A296" s="417" t="s">
        <v>171</v>
      </c>
      <c r="B296" s="418" t="s">
        <v>135</v>
      </c>
      <c r="C296" s="433">
        <v>0.45689999999999997</v>
      </c>
      <c r="D296" s="433"/>
      <c r="E296" s="433"/>
      <c r="F296" s="433"/>
      <c r="G296" s="433"/>
      <c r="H296" s="434"/>
      <c r="I296" s="30">
        <v>0.45689999999999997</v>
      </c>
      <c r="L296" s="80">
        <f>L276*I296</f>
        <v>8.2241999999999997</v>
      </c>
      <c r="M296" s="80">
        <f>M276*I296</f>
        <v>9.1379999999999999</v>
      </c>
      <c r="O296" s="102">
        <f>O276*I296</f>
        <v>51.172799999999995</v>
      </c>
      <c r="P296" s="102">
        <f>P276*I296</f>
        <v>46.6038</v>
      </c>
      <c r="R296" s="102"/>
      <c r="S296" s="102"/>
      <c r="T296" s="102"/>
      <c r="U296" s="102"/>
      <c r="W296" s="103"/>
      <c r="X296" s="103"/>
      <c r="Y296" s="103"/>
    </row>
    <row r="297" spans="1:26" x14ac:dyDescent="0.2">
      <c r="A297" s="428" t="s">
        <v>172</v>
      </c>
      <c r="B297" s="418" t="s">
        <v>135</v>
      </c>
      <c r="C297" s="433" t="e">
        <f>#REF!</f>
        <v>#REF!</v>
      </c>
      <c r="D297" s="438"/>
      <c r="E297" s="439" t="e">
        <f>C297</f>
        <v>#REF!</v>
      </c>
      <c r="F297" s="439"/>
      <c r="G297" s="439" t="e">
        <f>C297</f>
        <v>#REF!</v>
      </c>
      <c r="H297" s="434"/>
      <c r="I297" s="64">
        <v>8.8300000000000003E-2</v>
      </c>
      <c r="J297" s="64">
        <f t="shared" ref="J297:J302" si="0">I297</f>
        <v>8.8300000000000003E-2</v>
      </c>
      <c r="K297" s="64">
        <f t="shared" ref="K297:K302" si="1">I297</f>
        <v>8.8300000000000003E-2</v>
      </c>
      <c r="L297" s="80">
        <f>-(L277+L278+L285+L286+L290+L293+L295+L296)*5%</f>
        <v>-7.6252300000000011</v>
      </c>
      <c r="M297" s="80">
        <f>-(M277+M278+M285+M286+M290+M293+M295+M296)*5%</f>
        <v>-8.444700000000001</v>
      </c>
      <c r="O297" s="102">
        <f>O276*I297</f>
        <v>9.8895999999999997</v>
      </c>
      <c r="P297" s="464">
        <f>P276*I297</f>
        <v>9.0066000000000006</v>
      </c>
      <c r="R297" s="102">
        <f>R276*J297</f>
        <v>9.0066000000000006</v>
      </c>
      <c r="S297" s="102">
        <f>S276*J297</f>
        <v>435.93710000000004</v>
      </c>
      <c r="T297" s="102">
        <f>T276*J297</f>
        <v>58.896100000000004</v>
      </c>
      <c r="U297" s="102">
        <f>U276*J297</f>
        <v>88.653199999999998</v>
      </c>
      <c r="W297" s="103">
        <f>W276*K297</f>
        <v>-60697.420000000006</v>
      </c>
      <c r="X297" s="103">
        <f>X276*K297</f>
        <v>-68052.81</v>
      </c>
      <c r="Y297" s="103">
        <f>Y276*K297</f>
        <v>44.15</v>
      </c>
    </row>
    <row r="298" spans="1:26" x14ac:dyDescent="0.2">
      <c r="A298" s="428" t="s">
        <v>173</v>
      </c>
      <c r="B298" s="418"/>
      <c r="C298" s="433" t="e">
        <f>#REF!</f>
        <v>#REF!</v>
      </c>
      <c r="D298" s="438"/>
      <c r="E298" s="439" t="e">
        <f>C298</f>
        <v>#REF!</v>
      </c>
      <c r="F298" s="439"/>
      <c r="G298" s="439" t="e">
        <f>C298</f>
        <v>#REF!</v>
      </c>
      <c r="H298" s="434"/>
      <c r="I298" s="30">
        <v>1.2999999999999999E-3</v>
      </c>
      <c r="J298" s="64">
        <f t="shared" si="0"/>
        <v>1.2999999999999999E-3</v>
      </c>
      <c r="K298" s="64">
        <f t="shared" si="1"/>
        <v>1.2999999999999999E-3</v>
      </c>
      <c r="L298" s="106">
        <f>L276*I298</f>
        <v>2.3399999999999997E-2</v>
      </c>
      <c r="M298" s="80"/>
      <c r="O298" s="80">
        <f>-(O277+O278+O285+O286+O290+O293+O295+O296+O297)*5%</f>
        <v>-46.634799999999998</v>
      </c>
      <c r="P298" s="465">
        <f>P276*I298</f>
        <v>0.1326</v>
      </c>
      <c r="R298" s="107">
        <f>R276*J298</f>
        <v>0.1326</v>
      </c>
      <c r="S298" s="107">
        <f>S276*J298</f>
        <v>6.4180999999999999</v>
      </c>
      <c r="T298" s="107">
        <f>T276*J298</f>
        <v>0.86709999999999998</v>
      </c>
      <c r="U298" s="107">
        <f>U276*J298</f>
        <v>1.3051999999999999</v>
      </c>
      <c r="W298" s="104">
        <f>W276*K298</f>
        <v>-893.62</v>
      </c>
      <c r="X298" s="104">
        <f>X276*K298</f>
        <v>-1001.91</v>
      </c>
      <c r="Y298" s="104">
        <f>Y276*K298</f>
        <v>0.65</v>
      </c>
    </row>
    <row r="299" spans="1:26" x14ac:dyDescent="0.2">
      <c r="A299" s="428" t="s">
        <v>174</v>
      </c>
      <c r="B299" s="418"/>
      <c r="C299" s="433"/>
      <c r="D299" s="433"/>
      <c r="E299" s="433"/>
      <c r="F299" s="433"/>
      <c r="G299" s="433"/>
      <c r="H299" s="434"/>
      <c r="I299" s="30">
        <v>0.40039999999999998</v>
      </c>
      <c r="J299" s="64">
        <f t="shared" si="0"/>
        <v>0.40039999999999998</v>
      </c>
      <c r="K299" s="64">
        <f t="shared" si="1"/>
        <v>0.40039999999999998</v>
      </c>
      <c r="L299" s="80">
        <f>L276*I299</f>
        <v>7.2071999999999994</v>
      </c>
      <c r="M299" s="80">
        <f>M276*J299</f>
        <v>8.0079999999999991</v>
      </c>
      <c r="O299" s="80">
        <f>O276*I299</f>
        <v>44.844799999999999</v>
      </c>
      <c r="P299" s="80">
        <f>P276*I299</f>
        <v>40.840799999999994</v>
      </c>
      <c r="R299" s="107">
        <f>R276*J299</f>
        <v>40.840799999999994</v>
      </c>
      <c r="S299" s="107">
        <f>S276*J299</f>
        <v>1976.7747999999999</v>
      </c>
      <c r="T299" s="107">
        <f>T276*J299</f>
        <v>267.0668</v>
      </c>
      <c r="U299" s="107">
        <f>U276*J299</f>
        <v>402.0016</v>
      </c>
      <c r="W299" s="80">
        <f>W276*K299</f>
        <v>-275234.95999999996</v>
      </c>
      <c r="X299" s="80">
        <f>X276*K299</f>
        <v>-308588.27999999997</v>
      </c>
      <c r="Y299" s="80">
        <f>Y276*K299</f>
        <v>200.2</v>
      </c>
    </row>
    <row r="300" spans="1:26" x14ac:dyDescent="0.2">
      <c r="A300" s="417" t="s">
        <v>175</v>
      </c>
      <c r="B300" s="418" t="s">
        <v>135</v>
      </c>
      <c r="C300" s="433">
        <f>0.1163</f>
        <v>0.1163</v>
      </c>
      <c r="D300" s="433"/>
      <c r="E300" s="433">
        <f>C300</f>
        <v>0.1163</v>
      </c>
      <c r="F300" s="433"/>
      <c r="G300" s="433">
        <f>C300</f>
        <v>0.1163</v>
      </c>
      <c r="H300" s="441"/>
      <c r="I300" s="30">
        <v>0.1163</v>
      </c>
      <c r="J300" s="64">
        <f t="shared" si="0"/>
        <v>0.1163</v>
      </c>
      <c r="K300" s="64">
        <f t="shared" si="1"/>
        <v>0.1163</v>
      </c>
      <c r="L300" s="80">
        <f>L276*I300</f>
        <v>2.0933999999999999</v>
      </c>
      <c r="M300" s="80">
        <f>M276*I300</f>
        <v>2.3260000000000001</v>
      </c>
      <c r="O300" s="80">
        <f>O276*I300</f>
        <v>13.025600000000001</v>
      </c>
      <c r="P300" s="80">
        <f>P276*I300</f>
        <v>11.8626</v>
      </c>
      <c r="R300" s="80">
        <f>R276*J300</f>
        <v>11.8626</v>
      </c>
      <c r="S300" s="80">
        <f>S276*J300</f>
        <v>574.17309999999998</v>
      </c>
      <c r="T300" s="80">
        <f>T276*J300</f>
        <v>77.572100000000006</v>
      </c>
      <c r="U300" s="80">
        <f>U276*J300</f>
        <v>116.76520000000001</v>
      </c>
      <c r="W300" s="97">
        <f>W276*K300</f>
        <v>-79944.62</v>
      </c>
      <c r="X300" s="97">
        <f>X276*K300</f>
        <v>-89632.41</v>
      </c>
      <c r="Y300" s="97">
        <f>Y276*K300</f>
        <v>58.15</v>
      </c>
    </row>
    <row r="301" spans="1:26" x14ac:dyDescent="0.2">
      <c r="A301" s="417" t="s">
        <v>176</v>
      </c>
      <c r="B301" s="418" t="s">
        <v>135</v>
      </c>
      <c r="C301" s="433">
        <v>2.5000000000000001E-3</v>
      </c>
      <c r="D301" s="433"/>
      <c r="E301" s="433">
        <v>2.5000000000000001E-3</v>
      </c>
      <c r="F301" s="433"/>
      <c r="G301" s="439">
        <f>C301</f>
        <v>2.5000000000000001E-3</v>
      </c>
      <c r="H301" s="434"/>
      <c r="I301" s="30">
        <v>2.5000000000000001E-3</v>
      </c>
      <c r="J301" s="64">
        <f t="shared" si="0"/>
        <v>2.5000000000000001E-3</v>
      </c>
      <c r="K301" s="64">
        <f t="shared" si="1"/>
        <v>2.5000000000000001E-3</v>
      </c>
      <c r="L301" s="80">
        <f>$L$141*I301</f>
        <v>1.7500000000000002E-2</v>
      </c>
      <c r="M301" s="80">
        <f>M276*I301</f>
        <v>0.05</v>
      </c>
      <c r="O301" s="80">
        <f>O276*I301</f>
        <v>0.28000000000000003</v>
      </c>
      <c r="P301" s="80">
        <f>P276*I301</f>
        <v>0.255</v>
      </c>
      <c r="R301" s="80">
        <f>R276*J301</f>
        <v>0.255</v>
      </c>
      <c r="S301" s="80">
        <f>S276*J301</f>
        <v>12.342500000000001</v>
      </c>
      <c r="T301" s="80">
        <f>T276*J301</f>
        <v>1.6675</v>
      </c>
      <c r="U301" s="80">
        <f>U276*J301</f>
        <v>2.5100000000000002</v>
      </c>
      <c r="W301" s="97">
        <f>W276*K301</f>
        <v>-1718.5</v>
      </c>
      <c r="X301" s="97">
        <f>X276*K301</f>
        <v>-1926.75</v>
      </c>
      <c r="Y301" s="97">
        <f>Y276*K301</f>
        <v>1.25</v>
      </c>
    </row>
    <row r="302" spans="1:26" x14ac:dyDescent="0.2">
      <c r="A302" s="417" t="s">
        <v>200</v>
      </c>
      <c r="B302" s="418" t="s">
        <v>135</v>
      </c>
      <c r="C302" s="433">
        <f>0.1938</f>
        <v>0.1938</v>
      </c>
      <c r="D302" s="433"/>
      <c r="E302" s="433">
        <f>C302</f>
        <v>0.1938</v>
      </c>
      <c r="F302" s="433"/>
      <c r="G302" s="439">
        <f>C302</f>
        <v>0.1938</v>
      </c>
      <c r="H302" s="441"/>
      <c r="I302" s="30">
        <v>0.1938</v>
      </c>
      <c r="J302" s="64">
        <f t="shared" si="0"/>
        <v>0.1938</v>
      </c>
      <c r="K302" s="64">
        <f t="shared" si="1"/>
        <v>0.1938</v>
      </c>
      <c r="L302" s="80">
        <f>$L$141*I302</f>
        <v>1.3566</v>
      </c>
      <c r="M302" s="80">
        <f>M276*I302</f>
        <v>3.8759999999999999</v>
      </c>
      <c r="O302" s="80">
        <f>O276*I302</f>
        <v>21.7056</v>
      </c>
      <c r="P302" s="80">
        <f>P276*I302</f>
        <v>19.767600000000002</v>
      </c>
      <c r="R302" s="80">
        <f>R276*J302</f>
        <v>19.767600000000002</v>
      </c>
      <c r="S302" s="80">
        <f>S276*J302</f>
        <v>956.79060000000004</v>
      </c>
      <c r="T302" s="80">
        <f>T276*J302</f>
        <v>129.2646</v>
      </c>
      <c r="U302" s="80">
        <f>U276*J302</f>
        <v>194.5752</v>
      </c>
      <c r="W302" s="97">
        <f>W276*K302</f>
        <v>-133218.12</v>
      </c>
      <c r="X302" s="97">
        <f>X276*K302</f>
        <v>-149361.66</v>
      </c>
      <c r="Y302" s="97">
        <f>Y276*K302</f>
        <v>96.9</v>
      </c>
    </row>
    <row r="303" spans="1:26" x14ac:dyDescent="0.2">
      <c r="A303" s="442" t="s">
        <v>182</v>
      </c>
      <c r="B303" s="418"/>
      <c r="C303" s="433"/>
      <c r="D303" s="433"/>
      <c r="E303" s="433"/>
      <c r="F303" s="433"/>
      <c r="G303" s="439"/>
      <c r="H303" s="441"/>
      <c r="I303" s="64"/>
      <c r="J303" s="64"/>
      <c r="K303" s="64"/>
      <c r="L303" s="80">
        <f>L276*I303</f>
        <v>0</v>
      </c>
      <c r="M303" s="80">
        <f>M276*I303</f>
        <v>0</v>
      </c>
      <c r="O303" s="80">
        <f>O276*I303</f>
        <v>0</v>
      </c>
      <c r="P303" s="80">
        <f>P276*I303</f>
        <v>0</v>
      </c>
      <c r="R303" s="80">
        <f>R276*J303</f>
        <v>0</v>
      </c>
      <c r="S303" s="80">
        <f>S276*J303</f>
        <v>0</v>
      </c>
      <c r="T303" s="80">
        <f>T276*J303</f>
        <v>0</v>
      </c>
      <c r="U303" s="80">
        <f>U276*J303</f>
        <v>0</v>
      </c>
      <c r="W303" s="97">
        <f>W276*K303</f>
        <v>0</v>
      </c>
      <c r="X303" s="97">
        <f>X276*K303</f>
        <v>0</v>
      </c>
      <c r="Y303" s="97">
        <f>Y276*K303</f>
        <v>0</v>
      </c>
    </row>
    <row r="304" spans="1:26" x14ac:dyDescent="0.2">
      <c r="A304" s="417" t="s">
        <v>211</v>
      </c>
      <c r="B304" s="418" t="s">
        <v>135</v>
      </c>
      <c r="C304" s="433" t="e">
        <f>#REF!</f>
        <v>#REF!</v>
      </c>
      <c r="D304" s="433"/>
      <c r="E304" s="433" t="e">
        <f>C304</f>
        <v>#REF!</v>
      </c>
      <c r="F304" s="433"/>
      <c r="G304" s="439" t="e">
        <f>C304</f>
        <v>#REF!</v>
      </c>
      <c r="H304" s="441"/>
      <c r="I304" s="30">
        <v>4.7699999999999999E-2</v>
      </c>
      <c r="J304" s="64">
        <f t="shared" ref="J304:K306" si="2">I304</f>
        <v>4.7699999999999999E-2</v>
      </c>
      <c r="K304" s="64">
        <f t="shared" si="2"/>
        <v>4.7699999999999999E-2</v>
      </c>
      <c r="L304" s="115">
        <f>SUM(L277:L303)</f>
        <v>151.42307000000005</v>
      </c>
      <c r="M304" s="116">
        <f>SUM(M277:M303)</f>
        <v>170.09330000000003</v>
      </c>
      <c r="N304" s="30" t="s">
        <v>180</v>
      </c>
      <c r="O304" s="80">
        <f>O276*I304</f>
        <v>5.3423999999999996</v>
      </c>
      <c r="P304" s="80">
        <f>P276*I304</f>
        <v>4.8654000000000002</v>
      </c>
      <c r="R304" s="80">
        <f>R276*J304</f>
        <v>4.8654000000000002</v>
      </c>
      <c r="S304" s="80">
        <f>S276*J304</f>
        <v>235.4949</v>
      </c>
      <c r="T304" s="80">
        <f>T276*J304</f>
        <v>31.815899999999999</v>
      </c>
      <c r="U304" s="80">
        <f>U276*J304</f>
        <v>47.890799999999999</v>
      </c>
      <c r="W304" s="80">
        <f>W276*O304</f>
        <v>-3672365.76</v>
      </c>
      <c r="X304" s="80">
        <f>X276*O304</f>
        <v>-4117387.6799999997</v>
      </c>
      <c r="Y304" s="80">
        <f>Y276*O304</f>
        <v>2671.2</v>
      </c>
      <c r="Z304" s="80">
        <f>Z276*O304</f>
        <v>2671.2</v>
      </c>
    </row>
    <row r="305" spans="1:26" x14ac:dyDescent="0.2">
      <c r="A305" s="417" t="s">
        <v>212</v>
      </c>
      <c r="B305" s="418" t="s">
        <v>135</v>
      </c>
      <c r="C305" s="433" t="e">
        <f>#REF!</f>
        <v>#REF!</v>
      </c>
      <c r="D305" s="433"/>
      <c r="E305" s="433" t="e">
        <f>C305</f>
        <v>#REF!</v>
      </c>
      <c r="F305" s="433"/>
      <c r="G305" s="439" t="e">
        <f>C305</f>
        <v>#REF!</v>
      </c>
      <c r="H305" s="441"/>
      <c r="I305" s="30">
        <v>1.5E-3</v>
      </c>
      <c r="J305" s="64">
        <f t="shared" si="2"/>
        <v>1.5E-3</v>
      </c>
      <c r="K305" s="64">
        <f t="shared" si="2"/>
        <v>1.5E-3</v>
      </c>
      <c r="N305" s="30" t="s">
        <v>183</v>
      </c>
      <c r="O305" s="80">
        <f>O276*I305</f>
        <v>0.16800000000000001</v>
      </c>
      <c r="P305" s="80">
        <f>P276*I305</f>
        <v>0.153</v>
      </c>
      <c r="R305" s="80">
        <f>R276*J305</f>
        <v>0.153</v>
      </c>
      <c r="S305" s="80">
        <f>S276*J305</f>
        <v>7.4055</v>
      </c>
      <c r="T305" s="80">
        <f>T276*J305</f>
        <v>1.0004999999999999</v>
      </c>
      <c r="U305" s="80">
        <f>U276*J305</f>
        <v>1.506</v>
      </c>
      <c r="W305" s="80">
        <f>W276*O305</f>
        <v>-115483.20000000001</v>
      </c>
      <c r="X305" s="80">
        <f>X276*O305</f>
        <v>-129477.6</v>
      </c>
      <c r="Y305" s="80">
        <f>Y276*O305</f>
        <v>84</v>
      </c>
      <c r="Z305" s="80">
        <f>Z276*O305</f>
        <v>84</v>
      </c>
    </row>
    <row r="306" spans="1:26" x14ac:dyDescent="0.2">
      <c r="A306" s="417" t="s">
        <v>213</v>
      </c>
      <c r="B306" s="418" t="s">
        <v>135</v>
      </c>
      <c r="C306" s="433" t="e">
        <f>#REF!</f>
        <v>#REF!</v>
      </c>
      <c r="D306" s="433"/>
      <c r="E306" s="433" t="e">
        <f>C306</f>
        <v>#REF!</v>
      </c>
      <c r="F306" s="433"/>
      <c r="G306" s="438" t="e">
        <f>C306</f>
        <v>#REF!</v>
      </c>
      <c r="H306" s="441"/>
      <c r="I306" s="30">
        <v>6.1999999999999998E-3</v>
      </c>
      <c r="J306" s="64">
        <f t="shared" si="2"/>
        <v>6.1999999999999998E-3</v>
      </c>
      <c r="K306" s="64">
        <f t="shared" si="2"/>
        <v>6.1999999999999998E-3</v>
      </c>
      <c r="N306" s="30" t="s">
        <v>186</v>
      </c>
      <c r="O306" s="80">
        <f>O276*I306</f>
        <v>0.69440000000000002</v>
      </c>
      <c r="P306" s="80">
        <f>P276*I306</f>
        <v>0.63239999999999996</v>
      </c>
      <c r="R306" s="80">
        <f>R276*J306</f>
        <v>0.63239999999999996</v>
      </c>
      <c r="S306" s="80">
        <f>S276*J306</f>
        <v>30.609399999999997</v>
      </c>
      <c r="T306" s="80">
        <f>T276*J306</f>
        <v>4.1353999999999997</v>
      </c>
      <c r="U306" s="80">
        <f>U276*J306</f>
        <v>6.2248000000000001</v>
      </c>
      <c r="W306" s="80">
        <f>W276*O306</f>
        <v>-477330.56</v>
      </c>
      <c r="X306" s="80">
        <f>X276*O306</f>
        <v>-535174.07999999996</v>
      </c>
      <c r="Y306" s="80">
        <f>Y276*O306</f>
        <v>347.2</v>
      </c>
      <c r="Z306" s="80">
        <f>Z276*O306</f>
        <v>347.2</v>
      </c>
    </row>
    <row r="307" spans="1:26" x14ac:dyDescent="0.2">
      <c r="A307" s="417" t="s">
        <v>214</v>
      </c>
      <c r="B307" s="418" t="s">
        <v>215</v>
      </c>
      <c r="C307" s="443">
        <v>0.12</v>
      </c>
      <c r="D307" s="433"/>
      <c r="E307" s="443">
        <v>0.12</v>
      </c>
      <c r="F307" s="433"/>
      <c r="G307" s="443">
        <v>0.12</v>
      </c>
      <c r="H307" s="441"/>
      <c r="I307" s="64"/>
      <c r="J307" s="64"/>
      <c r="K307" s="64"/>
      <c r="L307" s="107" t="s">
        <v>182</v>
      </c>
      <c r="O307" s="80">
        <f>O280*I307</f>
        <v>0</v>
      </c>
      <c r="P307" s="80">
        <f>P280*I307</f>
        <v>0</v>
      </c>
      <c r="R307" s="80"/>
      <c r="S307" s="80"/>
      <c r="T307" s="80"/>
      <c r="U307" s="80">
        <f>U280*J307</f>
        <v>0</v>
      </c>
      <c r="W307" s="80"/>
      <c r="X307" s="80"/>
      <c r="Y307" s="80"/>
      <c r="Z307" s="80">
        <f>Z280*O307</f>
        <v>0</v>
      </c>
    </row>
    <row r="308" spans="1:26" x14ac:dyDescent="0.2">
      <c r="A308" s="444" t="s">
        <v>177</v>
      </c>
      <c r="B308" s="445" t="s">
        <v>135</v>
      </c>
      <c r="C308" s="446">
        <v>0.40039999999999998</v>
      </c>
      <c r="D308" s="446"/>
      <c r="E308" s="446">
        <v>0.40039999999999998</v>
      </c>
      <c r="F308" s="446"/>
      <c r="G308" s="447">
        <f>C308</f>
        <v>0.40039999999999998</v>
      </c>
      <c r="H308" s="448"/>
      <c r="I308" s="64"/>
      <c r="J308" s="64"/>
      <c r="K308" s="64"/>
      <c r="N308" s="30" t="s">
        <v>191</v>
      </c>
      <c r="O308" s="121">
        <f>(SUM(O282,O290:O297))*12%</f>
        <v>26.572799999999997</v>
      </c>
      <c r="P308" s="121">
        <f>(SUM(P282,P290:P297))*12%</f>
        <v>24.253799999999998</v>
      </c>
      <c r="R308" s="121">
        <f>(SUM(R282,R290:R297))*12%</f>
        <v>20.678207999999998</v>
      </c>
      <c r="S308" s="121">
        <f>(SUM(S282,S290:S297))*12%</f>
        <v>609.11704799999995</v>
      </c>
      <c r="T308" s="121">
        <f>(SUM(T282,T290:T297))*12%</f>
        <v>89.440967999999998</v>
      </c>
      <c r="U308" s="121">
        <f>(SUM(U282,U290:U297))*12%</f>
        <v>130.45521600000001</v>
      </c>
      <c r="W308" s="121">
        <f>(SUM(W282,W290:W297))*12%</f>
        <v>-7275.4260000000004</v>
      </c>
      <c r="X308" s="121">
        <f>(SUM(X282,X290:X297))*12%</f>
        <v>-8158.0727999999999</v>
      </c>
      <c r="Y308" s="121">
        <f>(SUM(Y282,Y290:Y297))*12%</f>
        <v>13.5624</v>
      </c>
      <c r="Z308" s="121">
        <f>(SUM(Z282,Z290:Z297))*12%</f>
        <v>0</v>
      </c>
    </row>
    <row r="309" spans="1:26" ht="13.5" thickBot="1" x14ac:dyDescent="0.25">
      <c r="A309" s="449" t="s">
        <v>178</v>
      </c>
      <c r="B309" s="450"/>
      <c r="C309" s="451" t="e">
        <f>C281+C282+C285+C286+C290+C293+C296+C297+C298+C300+C301+C302+C304+C305+C306+C308</f>
        <v>#REF!</v>
      </c>
      <c r="D309" s="452"/>
      <c r="E309" s="451" t="e">
        <f>E281+E285+E286+E290+E297+E298+E300+E301+E302+E304+E305+E306+E308</f>
        <v>#REF!</v>
      </c>
      <c r="F309" s="452"/>
      <c r="G309" s="451" t="e">
        <f>G281+G282+G285+G286+G290+G293+G296+G297+G298+G300+G301+G302+G304+G305+G306+G308</f>
        <v>#REF!</v>
      </c>
      <c r="H309" s="453"/>
      <c r="I309" s="64"/>
      <c r="J309" s="64"/>
      <c r="K309" s="64"/>
      <c r="O309" s="116">
        <f>SUM(O304:O308)</f>
        <v>32.7776</v>
      </c>
      <c r="P309" s="116">
        <f>SUM(P277:P308)</f>
        <v>929.08760000000007</v>
      </c>
      <c r="R309" s="116">
        <f>SUM(R277:R308)</f>
        <v>895.71540800000014</v>
      </c>
      <c r="S309" s="116">
        <f>SUM(S277:S308)</f>
        <v>39698.060248000009</v>
      </c>
      <c r="T309" s="116">
        <f>SUM(T277:T308)</f>
        <v>5430.0121679999993</v>
      </c>
      <c r="U309" s="116">
        <f>SUM(U277:U308)</f>
        <v>8134.539616</v>
      </c>
      <c r="W309" s="116">
        <f>SUM(W277:W308)</f>
        <v>-8464462.0200000014</v>
      </c>
      <c r="X309" s="116">
        <f>SUM(X277:X308)</f>
        <v>-9460419.6609999985</v>
      </c>
      <c r="Y309" s="116">
        <f>SUM(Y277:Y308)</f>
        <v>391789.55820000009</v>
      </c>
      <c r="Z309" s="116">
        <f>SUM(Z277:Z308)</f>
        <v>3102.3999999999996</v>
      </c>
    </row>
    <row r="310" spans="1:26" ht="14.25" thickTop="1" thickBot="1" x14ac:dyDescent="0.25">
      <c r="A310" s="449" t="s">
        <v>179</v>
      </c>
      <c r="B310" s="450" t="s">
        <v>166</v>
      </c>
      <c r="C310" s="454">
        <f>C295</f>
        <v>5</v>
      </c>
      <c r="D310" s="454"/>
      <c r="E310" s="454">
        <f>E292+E295</f>
        <v>68.87</v>
      </c>
      <c r="F310" s="454"/>
      <c r="G310" s="454">
        <f>G292+G295</f>
        <v>68.87</v>
      </c>
      <c r="H310" s="453"/>
    </row>
    <row r="311" spans="1:26" ht="14.25" thickTop="1" thickBot="1" x14ac:dyDescent="0.25">
      <c r="A311" s="449" t="s">
        <v>216</v>
      </c>
      <c r="B311" s="455" t="s">
        <v>158</v>
      </c>
      <c r="C311" s="451"/>
      <c r="D311" s="451"/>
      <c r="E311" s="451"/>
      <c r="F311" s="451"/>
      <c r="G311" s="454">
        <f>G289</f>
        <v>267.89999999999998</v>
      </c>
      <c r="H311" s="453"/>
      <c r="R311" s="122"/>
    </row>
    <row r="312" spans="1:26" ht="13.5" thickTop="1" x14ac:dyDescent="0.2">
      <c r="A312" s="417"/>
      <c r="B312" s="418"/>
      <c r="C312" s="433" t="e">
        <f>C309-C304-C305-C306</f>
        <v>#REF!</v>
      </c>
      <c r="D312" s="418"/>
      <c r="E312" s="418"/>
      <c r="F312" s="418"/>
      <c r="G312" s="418"/>
      <c r="H312" s="419"/>
      <c r="J312" s="64"/>
      <c r="K312" s="64"/>
      <c r="P312" s="121">
        <f>P300+P301+P302+P299</f>
        <v>72.725999999999999</v>
      </c>
    </row>
    <row r="313" spans="1:26" x14ac:dyDescent="0.2">
      <c r="A313" s="456" t="s">
        <v>5</v>
      </c>
      <c r="B313" s="457" t="s">
        <v>218</v>
      </c>
      <c r="C313" s="458"/>
      <c r="D313" s="418"/>
      <c r="E313" s="458" t="s">
        <v>193</v>
      </c>
      <c r="F313" s="458" t="s">
        <v>193</v>
      </c>
      <c r="G313" s="458"/>
      <c r="H313" s="419"/>
      <c r="I313" s="64"/>
      <c r="J313" s="64"/>
      <c r="K313" s="64"/>
      <c r="P313" s="415"/>
    </row>
    <row r="314" spans="1:26" x14ac:dyDescent="0.2">
      <c r="A314" s="456"/>
      <c r="B314" s="457"/>
      <c r="C314" s="458"/>
      <c r="D314" s="418"/>
      <c r="E314" s="458"/>
      <c r="F314" s="458" t="s">
        <v>193</v>
      </c>
      <c r="G314" s="458"/>
      <c r="H314" s="419"/>
      <c r="I314" s="64"/>
      <c r="J314" s="64"/>
      <c r="K314" s="64"/>
    </row>
    <row r="315" spans="1:26" x14ac:dyDescent="0.2">
      <c r="A315" s="456"/>
      <c r="B315" s="457"/>
      <c r="C315" s="458"/>
      <c r="D315" s="418"/>
      <c r="E315" s="458"/>
      <c r="F315" s="458" t="s">
        <v>193</v>
      </c>
      <c r="G315" s="458"/>
      <c r="H315" s="419"/>
      <c r="P315" s="122"/>
    </row>
    <row r="316" spans="1:26" x14ac:dyDescent="0.2">
      <c r="A316" s="456"/>
      <c r="B316" s="457"/>
      <c r="C316" s="457"/>
      <c r="D316" s="418"/>
      <c r="E316" s="457"/>
      <c r="F316" s="457"/>
      <c r="G316" s="457"/>
      <c r="H316" s="419"/>
      <c r="P316" s="122"/>
    </row>
    <row r="317" spans="1:26" x14ac:dyDescent="0.2">
      <c r="A317" s="459" t="s">
        <v>14</v>
      </c>
      <c r="B317" s="460" t="s">
        <v>219</v>
      </c>
      <c r="C317" s="460"/>
      <c r="D317" s="418"/>
      <c r="E317" s="460" t="s">
        <v>195</v>
      </c>
      <c r="F317" s="460" t="s">
        <v>195</v>
      </c>
      <c r="G317" s="460"/>
      <c r="H317" s="419"/>
    </row>
    <row r="318" spans="1:26" ht="13.5" thickBot="1" x14ac:dyDescent="0.25">
      <c r="A318" s="461" t="s">
        <v>217</v>
      </c>
      <c r="B318" s="462" t="s">
        <v>12</v>
      </c>
      <c r="C318" s="462"/>
      <c r="D318" s="420"/>
      <c r="E318" s="462" t="s">
        <v>197</v>
      </c>
      <c r="F318" s="462" t="s">
        <v>197</v>
      </c>
      <c r="G318" s="462"/>
      <c r="H318" s="421"/>
    </row>
    <row r="319" spans="1:26" x14ac:dyDescent="0.2">
      <c r="A319" s="466" t="s">
        <v>64</v>
      </c>
      <c r="B319" s="467"/>
      <c r="C319" s="467"/>
      <c r="D319" s="467"/>
      <c r="E319" s="467"/>
      <c r="F319" s="467"/>
      <c r="G319" s="467"/>
      <c r="H319" s="468"/>
    </row>
    <row r="320" spans="1:26" x14ac:dyDescent="0.2">
      <c r="A320" s="469" t="s">
        <v>0</v>
      </c>
      <c r="B320" s="69"/>
      <c r="C320" s="69"/>
      <c r="D320" s="69"/>
      <c r="E320" s="69"/>
      <c r="F320" s="69"/>
      <c r="G320" s="69"/>
      <c r="H320" s="470"/>
    </row>
    <row r="321" spans="1:26" x14ac:dyDescent="0.2">
      <c r="A321" s="469"/>
      <c r="B321" s="69"/>
      <c r="C321" s="69"/>
      <c r="D321" s="69"/>
      <c r="E321" s="69"/>
      <c r="F321" s="69"/>
      <c r="G321" s="69"/>
      <c r="H321" s="470"/>
    </row>
    <row r="322" spans="1:26" x14ac:dyDescent="0.2">
      <c r="A322" s="471" t="s">
        <v>60</v>
      </c>
      <c r="B322" s="69"/>
      <c r="C322" s="69"/>
      <c r="D322" s="69"/>
      <c r="E322" s="69"/>
      <c r="F322" s="69"/>
      <c r="G322" s="69"/>
      <c r="H322" s="470"/>
      <c r="W322" s="34" t="s">
        <v>143</v>
      </c>
      <c r="X322" s="34" t="s">
        <v>144</v>
      </c>
      <c r="Y322" s="34" t="s">
        <v>1</v>
      </c>
      <c r="Z322" s="34" t="s">
        <v>222</v>
      </c>
    </row>
    <row r="323" spans="1:26" x14ac:dyDescent="0.2">
      <c r="A323" s="472" t="s">
        <v>223</v>
      </c>
      <c r="B323" s="69"/>
      <c r="C323" s="69"/>
      <c r="D323" s="69"/>
      <c r="E323" s="69"/>
      <c r="F323" s="69"/>
      <c r="G323" s="69"/>
      <c r="H323" s="470"/>
      <c r="W323" s="83" t="s">
        <v>145</v>
      </c>
      <c r="X323" s="83" t="s">
        <v>145</v>
      </c>
      <c r="Y323" s="83" t="s">
        <v>145</v>
      </c>
      <c r="Z323" s="83" t="s">
        <v>145</v>
      </c>
    </row>
    <row r="324" spans="1:26" x14ac:dyDescent="0.2">
      <c r="A324" s="472"/>
      <c r="B324" s="69"/>
      <c r="C324" s="69"/>
      <c r="D324" s="69"/>
      <c r="E324" s="69"/>
      <c r="F324" s="69"/>
      <c r="G324" s="69"/>
      <c r="H324" s="470"/>
      <c r="L324" s="257" t="s">
        <v>146</v>
      </c>
      <c r="M324" s="75" t="s">
        <v>6</v>
      </c>
      <c r="N324" s="75"/>
      <c r="O324" s="257" t="s">
        <v>146</v>
      </c>
      <c r="P324" s="413" t="s">
        <v>6</v>
      </c>
      <c r="R324" s="85" t="s">
        <v>147</v>
      </c>
      <c r="S324" s="85" t="s">
        <v>147</v>
      </c>
      <c r="T324" s="85" t="s">
        <v>147</v>
      </c>
      <c r="U324" s="85" t="s">
        <v>147</v>
      </c>
      <c r="W324" s="86">
        <f>0.2*700</f>
        <v>140</v>
      </c>
      <c r="X324" s="86">
        <f>0.31*700</f>
        <v>217</v>
      </c>
      <c r="Y324" s="86">
        <f>0.37*2100</f>
        <v>777</v>
      </c>
      <c r="Z324" s="86">
        <f>0.37*2100</f>
        <v>777</v>
      </c>
    </row>
    <row r="325" spans="1:26" x14ac:dyDescent="0.2">
      <c r="A325" s="1021"/>
      <c r="B325" s="976"/>
      <c r="C325" s="162" t="s">
        <v>6</v>
      </c>
      <c r="D325" s="977" t="s">
        <v>47</v>
      </c>
      <c r="E325" s="978"/>
      <c r="F325" s="979"/>
      <c r="G325" s="977" t="s">
        <v>13</v>
      </c>
      <c r="H325" s="1022"/>
      <c r="I325" s="501" t="s">
        <v>6</v>
      </c>
      <c r="J325" s="162" t="s">
        <v>47</v>
      </c>
      <c r="K325" s="162" t="s">
        <v>13</v>
      </c>
      <c r="L325" s="257" t="s">
        <v>130</v>
      </c>
      <c r="M325" s="260" t="s">
        <v>148</v>
      </c>
      <c r="N325" s="75"/>
      <c r="O325" s="257" t="s">
        <v>130</v>
      </c>
      <c r="P325" s="414" t="s">
        <v>130</v>
      </c>
      <c r="R325" s="80" t="s">
        <v>130</v>
      </c>
      <c r="S325" s="80" t="s">
        <v>130</v>
      </c>
      <c r="T325" s="80" t="s">
        <v>130</v>
      </c>
      <c r="U325" s="80" t="s">
        <v>130</v>
      </c>
      <c r="W325" s="89" t="s">
        <v>130</v>
      </c>
      <c r="X325" s="89" t="s">
        <v>130</v>
      </c>
      <c r="Y325" s="89" t="s">
        <v>130</v>
      </c>
      <c r="Z325" s="89" t="s">
        <v>130</v>
      </c>
    </row>
    <row r="326" spans="1:26" x14ac:dyDescent="0.2">
      <c r="A326" s="471" t="s">
        <v>149</v>
      </c>
      <c r="B326" s="69"/>
      <c r="C326" s="164"/>
      <c r="D326" s="164"/>
      <c r="E326" s="164"/>
      <c r="F326" s="164"/>
      <c r="G326" s="164"/>
      <c r="H326" s="473"/>
      <c r="J326" s="93"/>
      <c r="L326" s="93">
        <v>18</v>
      </c>
      <c r="M326" s="93">
        <v>10</v>
      </c>
      <c r="O326" s="93">
        <v>112</v>
      </c>
      <c r="P326" s="93">
        <v>102</v>
      </c>
      <c r="R326" s="93">
        <v>102</v>
      </c>
      <c r="S326" s="93">
        <v>4937</v>
      </c>
      <c r="T326" s="93">
        <v>667</v>
      </c>
      <c r="U326" s="93">
        <v>15724</v>
      </c>
      <c r="W326" s="94">
        <f>(0-982)*700</f>
        <v>-687400</v>
      </c>
      <c r="X326" s="94">
        <f>(0-1101)*700</f>
        <v>-770700</v>
      </c>
      <c r="Y326" s="94">
        <v>500</v>
      </c>
      <c r="Z326" s="94">
        <v>500</v>
      </c>
    </row>
    <row r="327" spans="1:26" x14ac:dyDescent="0.2">
      <c r="A327" s="469" t="s">
        <v>150</v>
      </c>
      <c r="B327" s="69" t="s">
        <v>135</v>
      </c>
      <c r="C327" s="167" t="e">
        <f>C331-C328-C329-C330</f>
        <v>#REF!</v>
      </c>
      <c r="D327" s="167"/>
      <c r="E327" s="167" t="e">
        <f>E331-E328-E329-E330</f>
        <v>#REF!</v>
      </c>
      <c r="F327" s="167"/>
      <c r="G327" s="167" t="e">
        <f>G331-G328-G329-G330</f>
        <v>#REF!</v>
      </c>
      <c r="H327" s="470"/>
      <c r="I327" s="30">
        <v>3.4733000000000001</v>
      </c>
      <c r="J327" s="30">
        <f>I327</f>
        <v>3.4733000000000001</v>
      </c>
      <c r="K327" s="30">
        <f>J327</f>
        <v>3.4733000000000001</v>
      </c>
      <c r="L327" s="80">
        <f>L326*(I327+I329+I330)</f>
        <v>73.427400000000006</v>
      </c>
      <c r="M327" s="80">
        <f>M326*(I327+I329+I330)</f>
        <v>40.792999999999999</v>
      </c>
      <c r="O327" s="80">
        <f>O326*(I327+I329+I330)</f>
        <v>456.88159999999999</v>
      </c>
      <c r="P327" s="80">
        <f>P326*(I327+I329+I330)</f>
        <v>416.08859999999999</v>
      </c>
      <c r="R327" s="80">
        <f>R326*(J327+J329+J330)</f>
        <v>416.08859999999999</v>
      </c>
      <c r="S327" s="80">
        <f>S326*(J327+J329+J330)</f>
        <v>20139.504099999998</v>
      </c>
      <c r="T327" s="80">
        <f>T326*(J327+J329+J330)</f>
        <v>2720.8930999999998</v>
      </c>
      <c r="U327" s="80">
        <f>U326*(J327+J329+J330)</f>
        <v>64142.913199999995</v>
      </c>
      <c r="W327" s="97">
        <f>W326*(K327+K329+K330)</f>
        <v>-2804110.82</v>
      </c>
      <c r="X327" s="97">
        <f>X326*(K327+K329+K330)</f>
        <v>-3143916.51</v>
      </c>
      <c r="Y327" s="97">
        <f>Y326*(K327+K329+K330)</f>
        <v>2039.6499999999999</v>
      </c>
    </row>
    <row r="328" spans="1:26" x14ac:dyDescent="0.2">
      <c r="A328" s="469" t="s">
        <v>151</v>
      </c>
      <c r="B328" s="69" t="s">
        <v>135</v>
      </c>
      <c r="C328" s="167">
        <v>1.77E-2</v>
      </c>
      <c r="D328" s="167"/>
      <c r="E328" s="167">
        <v>1.77E-2</v>
      </c>
      <c r="F328" s="167"/>
      <c r="G328" s="167">
        <v>1.77E-2</v>
      </c>
      <c r="H328" s="474"/>
      <c r="I328" s="30">
        <v>1.77E-2</v>
      </c>
      <c r="J328" s="30">
        <v>1.77E-2</v>
      </c>
      <c r="K328" s="30">
        <v>1.77E-2</v>
      </c>
      <c r="L328" s="80">
        <f>L326*I328</f>
        <v>0.31859999999999999</v>
      </c>
      <c r="M328" s="80">
        <f>M326*I328</f>
        <v>0.17699999999999999</v>
      </c>
      <c r="O328" s="80">
        <f>O326*I328</f>
        <v>1.9824000000000002</v>
      </c>
      <c r="P328" s="80">
        <f>P326*I328</f>
        <v>1.8054000000000001</v>
      </c>
      <c r="R328" s="80">
        <f>R326*J328</f>
        <v>1.8054000000000001</v>
      </c>
      <c r="S328" s="80">
        <f>S326*J328</f>
        <v>87.384900000000002</v>
      </c>
      <c r="T328" s="80">
        <f>T326*J328</f>
        <v>11.805900000000001</v>
      </c>
      <c r="U328" s="80">
        <f>U326*J328</f>
        <v>278.31479999999999</v>
      </c>
      <c r="W328" s="97">
        <f>W326*K328</f>
        <v>-12166.98</v>
      </c>
      <c r="X328" s="97">
        <f>X326*K328</f>
        <v>-13641.390000000001</v>
      </c>
      <c r="Y328" s="97">
        <f>Y326*K328</f>
        <v>8.85</v>
      </c>
    </row>
    <row r="329" spans="1:26" x14ac:dyDescent="0.2">
      <c r="A329" s="469" t="s">
        <v>230</v>
      </c>
      <c r="B329" s="69" t="s">
        <v>135</v>
      </c>
      <c r="C329" s="167">
        <v>0.48470000000000002</v>
      </c>
      <c r="D329" s="167"/>
      <c r="E329" s="167">
        <v>0.48470000000000002</v>
      </c>
      <c r="F329" s="167"/>
      <c r="G329" s="167">
        <v>0.48470000000000002</v>
      </c>
      <c r="H329" s="474"/>
      <c r="I329" s="30">
        <v>0.48470000000000002</v>
      </c>
      <c r="J329" s="30">
        <v>0.48470000000000002</v>
      </c>
      <c r="K329" s="30">
        <v>0.48470000000000002</v>
      </c>
      <c r="M329" s="80"/>
      <c r="O329" s="80"/>
      <c r="P329" s="80"/>
      <c r="R329" s="80"/>
      <c r="S329" s="80"/>
      <c r="T329" s="80"/>
      <c r="U329" s="80"/>
      <c r="W329" s="97"/>
      <c r="X329" s="97"/>
      <c r="Y329" s="97"/>
    </row>
    <row r="330" spans="1:26" x14ac:dyDescent="0.2">
      <c r="A330" s="469" t="s">
        <v>231</v>
      </c>
      <c r="B330" s="69" t="s">
        <v>135</v>
      </c>
      <c r="C330" s="167">
        <v>0.12130000000000001</v>
      </c>
      <c r="D330" s="167"/>
      <c r="E330" s="167">
        <v>0.12130000000000001</v>
      </c>
      <c r="F330" s="167"/>
      <c r="G330" s="167">
        <v>0.12130000000000001</v>
      </c>
      <c r="H330" s="474"/>
      <c r="I330" s="30">
        <v>0.12130000000000001</v>
      </c>
      <c r="J330" s="30">
        <v>0.12130000000000001</v>
      </c>
      <c r="K330" s="30">
        <v>0.12130000000000001</v>
      </c>
      <c r="M330" s="80"/>
      <c r="O330" s="80"/>
      <c r="P330" s="80"/>
      <c r="R330" s="80"/>
      <c r="S330" s="80"/>
      <c r="T330" s="80"/>
      <c r="U330" s="80"/>
      <c r="W330" s="97"/>
      <c r="X330" s="97"/>
      <c r="Y330" s="97"/>
    </row>
    <row r="331" spans="1:26" x14ac:dyDescent="0.2">
      <c r="A331" s="469" t="s">
        <v>154</v>
      </c>
      <c r="B331" s="69"/>
      <c r="C331" s="170" t="e">
        <f>#REF!</f>
        <v>#REF!</v>
      </c>
      <c r="D331" s="170"/>
      <c r="E331" s="170" t="e">
        <f>C331</f>
        <v>#REF!</v>
      </c>
      <c r="F331" s="170"/>
      <c r="G331" s="170" t="e">
        <f>C331</f>
        <v>#REF!</v>
      </c>
      <c r="H331" s="475"/>
      <c r="M331" s="80"/>
      <c r="O331" s="80"/>
      <c r="P331" s="80"/>
      <c r="R331" s="80"/>
      <c r="S331" s="80"/>
      <c r="T331" s="80"/>
      <c r="U331" s="80"/>
      <c r="W331" s="97"/>
      <c r="X331" s="97"/>
      <c r="Y331" s="97"/>
    </row>
    <row r="332" spans="1:26" x14ac:dyDescent="0.2">
      <c r="A332" s="471" t="s">
        <v>155</v>
      </c>
      <c r="B332" s="69" t="s">
        <v>135</v>
      </c>
      <c r="C332" s="167"/>
      <c r="D332" s="167"/>
      <c r="E332" s="167"/>
      <c r="F332" s="167"/>
      <c r="G332" s="167"/>
      <c r="H332" s="470"/>
      <c r="I332" s="64"/>
      <c r="J332" s="101"/>
      <c r="K332" s="101"/>
      <c r="L332" s="80">
        <f>L326*I332</f>
        <v>0</v>
      </c>
      <c r="M332" s="80">
        <f>M326*I332</f>
        <v>0</v>
      </c>
      <c r="O332" s="102">
        <f>O326*I332</f>
        <v>0</v>
      </c>
      <c r="P332" s="102">
        <f>P326*I332</f>
        <v>0</v>
      </c>
      <c r="R332" s="102">
        <f>R326*J332</f>
        <v>0</v>
      </c>
      <c r="S332" s="102">
        <f>S326*K332</f>
        <v>0</v>
      </c>
      <c r="T332" s="102">
        <f>T326*J332</f>
        <v>0</v>
      </c>
      <c r="U332" s="102">
        <f>U326*J332</f>
        <v>0</v>
      </c>
      <c r="W332" s="103">
        <f>W326*K332</f>
        <v>0</v>
      </c>
      <c r="X332" s="103">
        <f>X326*K332</f>
        <v>0</v>
      </c>
      <c r="Y332" s="103">
        <f>Y326*K332</f>
        <v>0</v>
      </c>
    </row>
    <row r="333" spans="1:26" x14ac:dyDescent="0.2">
      <c r="A333" s="471" t="s">
        <v>156</v>
      </c>
      <c r="B333" s="69"/>
      <c r="C333" s="167"/>
      <c r="D333" s="167"/>
      <c r="E333" s="167"/>
      <c r="F333" s="167"/>
      <c r="G333" s="167"/>
      <c r="H333" s="470"/>
      <c r="M333" s="80"/>
      <c r="O333" s="80"/>
      <c r="P333" s="80"/>
      <c r="R333" s="80"/>
      <c r="S333" s="80"/>
      <c r="T333" s="80"/>
      <c r="U333" s="80"/>
      <c r="W333" s="97"/>
      <c r="X333" s="97"/>
      <c r="Y333" s="97"/>
    </row>
    <row r="334" spans="1:26" x14ac:dyDescent="0.2">
      <c r="A334" s="469" t="s">
        <v>157</v>
      </c>
      <c r="B334" s="69" t="s">
        <v>158</v>
      </c>
      <c r="C334" s="167"/>
      <c r="D334" s="167"/>
      <c r="E334" s="167"/>
      <c r="F334" s="167"/>
      <c r="G334" s="167" t="e">
        <f>#REF!</f>
        <v>#REF!</v>
      </c>
      <c r="H334" s="474"/>
      <c r="K334" s="64">
        <v>244.47229999999999</v>
      </c>
      <c r="M334" s="80"/>
      <c r="O334" s="80"/>
      <c r="P334" s="80"/>
      <c r="R334" s="80"/>
      <c r="S334" s="80"/>
      <c r="T334" s="80"/>
      <c r="U334" s="80"/>
      <c r="W334" s="104">
        <f>W324*K334</f>
        <v>34226.121999999996</v>
      </c>
      <c r="X334" s="97">
        <f>X324*K334</f>
        <v>53050.489099999999</v>
      </c>
      <c r="Y334" s="97">
        <f>Y324*K334</f>
        <v>189954.97709999999</v>
      </c>
    </row>
    <row r="335" spans="1:26" x14ac:dyDescent="0.2">
      <c r="A335" s="469" t="s">
        <v>159</v>
      </c>
      <c r="B335" s="69" t="s">
        <v>135</v>
      </c>
      <c r="C335" s="167" t="e">
        <f>#REF!</f>
        <v>#REF!</v>
      </c>
      <c r="D335" s="167"/>
      <c r="E335" s="167" t="e">
        <f>#REF!</f>
        <v>#REF!</v>
      </c>
      <c r="F335" s="167"/>
      <c r="G335" s="167"/>
      <c r="H335" s="474"/>
      <c r="I335" s="30">
        <v>0.78290000000000004</v>
      </c>
      <c r="J335" s="64">
        <v>0.78310000000000002</v>
      </c>
      <c r="L335" s="80">
        <f>L326*I335</f>
        <v>14.0922</v>
      </c>
      <c r="M335" s="80">
        <f>M326*I335</f>
        <v>7.8290000000000006</v>
      </c>
      <c r="O335" s="80">
        <f>O326*I335</f>
        <v>87.68480000000001</v>
      </c>
      <c r="P335" s="80">
        <f>P326*I335</f>
        <v>79.855800000000002</v>
      </c>
      <c r="R335" s="80">
        <f>R326*J335</f>
        <v>79.876199999999997</v>
      </c>
      <c r="S335" s="80">
        <f>S326*J335</f>
        <v>3866.1647000000003</v>
      </c>
      <c r="T335" s="80">
        <f>T326*J335</f>
        <v>522.32770000000005</v>
      </c>
      <c r="U335" s="80">
        <f>U326*J335</f>
        <v>12313.464400000001</v>
      </c>
      <c r="W335" s="97">
        <f>W326*K335</f>
        <v>0</v>
      </c>
      <c r="X335" s="97">
        <f>X326*K335</f>
        <v>0</v>
      </c>
      <c r="Y335" s="97">
        <f>Y326*K335</f>
        <v>0</v>
      </c>
    </row>
    <row r="336" spans="1:26" x14ac:dyDescent="0.2">
      <c r="A336" s="471" t="s">
        <v>160</v>
      </c>
      <c r="B336" s="69" t="s">
        <v>135</v>
      </c>
      <c r="C336" s="167" t="e">
        <f>#REF!</f>
        <v>#REF!</v>
      </c>
      <c r="D336" s="167"/>
      <c r="E336" s="167" t="e">
        <f>C336</f>
        <v>#REF!</v>
      </c>
      <c r="F336" s="167"/>
      <c r="G336" s="167" t="e">
        <f>C336</f>
        <v>#REF!</v>
      </c>
      <c r="H336" s="474"/>
      <c r="I336" s="30">
        <v>0.62290000000000001</v>
      </c>
      <c r="J336" s="30">
        <v>0.62290000000000001</v>
      </c>
      <c r="K336" s="30">
        <v>0.62290000000000001</v>
      </c>
      <c r="L336" s="80">
        <f>L326*I336</f>
        <v>11.212199999999999</v>
      </c>
      <c r="M336" s="80">
        <f>M326*I336</f>
        <v>6.2290000000000001</v>
      </c>
      <c r="O336" s="80">
        <f>O326*I336</f>
        <v>69.764800000000008</v>
      </c>
      <c r="P336" s="80">
        <f>P326*I336</f>
        <v>63.535800000000002</v>
      </c>
      <c r="R336" s="80">
        <f>R326*J336</f>
        <v>63.535800000000002</v>
      </c>
      <c r="S336" s="80">
        <f>S326*J336</f>
        <v>3075.2573000000002</v>
      </c>
      <c r="T336" s="80">
        <f>T326*J336</f>
        <v>415.47430000000003</v>
      </c>
      <c r="U336" s="80">
        <f>U326*J336</f>
        <v>9794.4796000000006</v>
      </c>
      <c r="W336" s="97">
        <f>W326*K336</f>
        <v>-428181.46</v>
      </c>
      <c r="X336" s="97">
        <f>X326*K336</f>
        <v>-480069.03</v>
      </c>
      <c r="Y336" s="97">
        <f>Y326*K336</f>
        <v>311.45</v>
      </c>
    </row>
    <row r="337" spans="1:25" x14ac:dyDescent="0.2">
      <c r="A337" s="469"/>
      <c r="B337" s="69"/>
      <c r="C337" s="167"/>
      <c r="D337" s="167"/>
      <c r="E337" s="167"/>
      <c r="F337" s="167"/>
      <c r="G337" s="167"/>
      <c r="H337" s="474"/>
      <c r="M337" s="80"/>
      <c r="O337" s="80"/>
      <c r="P337" s="80"/>
      <c r="R337" s="80"/>
      <c r="S337" s="80"/>
      <c r="T337" s="80"/>
      <c r="U337" s="80"/>
      <c r="W337" s="97"/>
      <c r="X337" s="97"/>
      <c r="Y337" s="97"/>
    </row>
    <row r="338" spans="1:25" x14ac:dyDescent="0.2">
      <c r="A338" s="471" t="s">
        <v>161</v>
      </c>
      <c r="B338" s="69"/>
      <c r="C338" s="167"/>
      <c r="D338" s="167"/>
      <c r="E338" s="167"/>
      <c r="F338" s="167"/>
      <c r="G338" s="167"/>
      <c r="H338" s="474"/>
      <c r="M338" s="80"/>
      <c r="O338" s="80"/>
      <c r="P338" s="80"/>
      <c r="R338" s="80"/>
      <c r="S338" s="80"/>
      <c r="T338" s="80"/>
      <c r="U338" s="80"/>
      <c r="W338" s="97"/>
      <c r="X338" s="97"/>
      <c r="Y338" s="97"/>
    </row>
    <row r="339" spans="1:25" x14ac:dyDescent="0.2">
      <c r="A339" s="469" t="s">
        <v>162</v>
      </c>
      <c r="B339" s="69" t="s">
        <v>158</v>
      </c>
      <c r="C339" s="167"/>
      <c r="D339" s="167"/>
      <c r="E339" s="167"/>
      <c r="F339" s="167"/>
      <c r="G339" s="476">
        <v>267.89999999999998</v>
      </c>
      <c r="H339" s="474"/>
      <c r="K339" s="101">
        <v>267.89999999999998</v>
      </c>
      <c r="M339" s="80"/>
      <c r="O339" s="80"/>
      <c r="P339" s="80"/>
      <c r="R339" s="80"/>
      <c r="S339" s="80"/>
      <c r="T339" s="80"/>
      <c r="U339" s="80"/>
      <c r="W339" s="104">
        <f>W324*K339</f>
        <v>37506</v>
      </c>
      <c r="X339" s="104">
        <f>X324*K339</f>
        <v>58134.299999999996</v>
      </c>
      <c r="Y339" s="104">
        <f>Y324*K339</f>
        <v>208158.3</v>
      </c>
    </row>
    <row r="340" spans="1:25" x14ac:dyDescent="0.2">
      <c r="A340" s="469" t="s">
        <v>163</v>
      </c>
      <c r="B340" s="69" t="s">
        <v>135</v>
      </c>
      <c r="C340" s="167">
        <v>0.84489999999999998</v>
      </c>
      <c r="D340" s="172"/>
      <c r="E340" s="477">
        <v>0.92589999999999995</v>
      </c>
      <c r="F340" s="167"/>
      <c r="G340" s="167"/>
      <c r="H340" s="474"/>
      <c r="I340" s="30">
        <v>0.84489999999999998</v>
      </c>
      <c r="J340" s="30">
        <v>0.92589999999999995</v>
      </c>
      <c r="L340" s="80">
        <f>L326*I340</f>
        <v>15.2082</v>
      </c>
      <c r="M340" s="80">
        <f>M326*I340</f>
        <v>8.4489999999999998</v>
      </c>
      <c r="O340" s="102">
        <f>O326*I340</f>
        <v>94.628799999999998</v>
      </c>
      <c r="P340" s="102">
        <f>P326*I340</f>
        <v>86.1798</v>
      </c>
      <c r="R340" s="102">
        <f>R326*J340</f>
        <v>94.441800000000001</v>
      </c>
      <c r="S340" s="102">
        <f>S326*J340</f>
        <v>4571.1682999999994</v>
      </c>
      <c r="T340" s="102">
        <f>T326*J340</f>
        <v>617.57529999999997</v>
      </c>
      <c r="U340" s="102">
        <f>U326*J340</f>
        <v>14558.8516</v>
      </c>
      <c r="W340" s="103">
        <f>W326*K340</f>
        <v>0</v>
      </c>
      <c r="X340" s="103">
        <f>X326*K340</f>
        <v>0</v>
      </c>
      <c r="Y340" s="103">
        <f>Y326*K340</f>
        <v>0</v>
      </c>
    </row>
    <row r="341" spans="1:25" x14ac:dyDescent="0.2">
      <c r="A341" s="471" t="s">
        <v>164</v>
      </c>
      <c r="B341" s="69"/>
      <c r="C341" s="167"/>
      <c r="D341" s="172"/>
      <c r="E341" s="167"/>
      <c r="F341" s="167"/>
      <c r="G341" s="167"/>
      <c r="H341" s="474"/>
      <c r="M341" s="80"/>
      <c r="O341" s="102"/>
      <c r="P341" s="102"/>
      <c r="R341" s="102"/>
      <c r="S341" s="102"/>
      <c r="T341" s="102"/>
      <c r="U341" s="102"/>
      <c r="W341" s="103"/>
      <c r="X341" s="103"/>
      <c r="Y341" s="103"/>
    </row>
    <row r="342" spans="1:25" x14ac:dyDescent="0.2">
      <c r="A342" s="469" t="s">
        <v>165</v>
      </c>
      <c r="B342" s="69" t="s">
        <v>166</v>
      </c>
      <c r="C342" s="167"/>
      <c r="D342" s="172"/>
      <c r="E342" s="478">
        <v>40.15</v>
      </c>
      <c r="F342" s="476"/>
      <c r="G342" s="478">
        <v>40.15</v>
      </c>
      <c r="H342" s="474"/>
      <c r="J342" s="30">
        <v>40.15</v>
      </c>
      <c r="K342" s="30">
        <v>40.15</v>
      </c>
      <c r="M342" s="80"/>
      <c r="O342" s="102"/>
      <c r="P342" s="102"/>
      <c r="R342" s="103">
        <f>G342</f>
        <v>40.15</v>
      </c>
      <c r="S342" s="103">
        <f>G342</f>
        <v>40.15</v>
      </c>
      <c r="T342" s="103">
        <f>S342</f>
        <v>40.15</v>
      </c>
      <c r="U342" s="103">
        <f>S342</f>
        <v>40.15</v>
      </c>
      <c r="W342" s="103">
        <f>G342</f>
        <v>40.15</v>
      </c>
      <c r="X342" s="103">
        <f>W342</f>
        <v>40.15</v>
      </c>
      <c r="Y342" s="103">
        <f>W342</f>
        <v>40.15</v>
      </c>
    </row>
    <row r="343" spans="1:25" x14ac:dyDescent="0.2">
      <c r="A343" s="469" t="s">
        <v>167</v>
      </c>
      <c r="B343" s="69" t="s">
        <v>135</v>
      </c>
      <c r="C343" s="167">
        <v>0.7732</v>
      </c>
      <c r="D343" s="172"/>
      <c r="E343" s="476"/>
      <c r="F343" s="476"/>
      <c r="G343" s="476"/>
      <c r="H343" s="474"/>
      <c r="I343" s="30">
        <v>0.7732</v>
      </c>
      <c r="L343" s="80">
        <f>L326*I343</f>
        <v>13.9176</v>
      </c>
      <c r="M343" s="80">
        <f>M326*I343</f>
        <v>7.7320000000000002</v>
      </c>
      <c r="O343" s="102">
        <f>O326*I343</f>
        <v>86.598399999999998</v>
      </c>
      <c r="P343" s="102">
        <f>P326*I343</f>
        <v>78.866399999999999</v>
      </c>
      <c r="R343" s="102">
        <f>R326*J343</f>
        <v>0</v>
      </c>
      <c r="S343" s="102">
        <f>S326*K343</f>
        <v>0</v>
      </c>
      <c r="T343" s="102">
        <f>T326*J343</f>
        <v>0</v>
      </c>
      <c r="U343" s="102">
        <f>U326*J343</f>
        <v>0</v>
      </c>
      <c r="W343" s="103">
        <f>W326*K343</f>
        <v>0</v>
      </c>
      <c r="X343" s="103">
        <f>X326*K343</f>
        <v>0</v>
      </c>
      <c r="Y343" s="103">
        <f>Y326*K343</f>
        <v>0</v>
      </c>
    </row>
    <row r="344" spans="1:25" x14ac:dyDescent="0.2">
      <c r="A344" s="471" t="s">
        <v>168</v>
      </c>
      <c r="B344" s="69"/>
      <c r="C344" s="69"/>
      <c r="D344" s="172"/>
      <c r="E344" s="476"/>
      <c r="F344" s="476"/>
      <c r="G344" s="476"/>
      <c r="H344" s="474"/>
      <c r="M344" s="80"/>
      <c r="O344" s="102"/>
      <c r="P344" s="102"/>
      <c r="R344" s="102"/>
      <c r="S344" s="102"/>
      <c r="T344" s="102"/>
      <c r="U344" s="102"/>
      <c r="W344" s="103"/>
      <c r="X344" s="103"/>
      <c r="Y344" s="103"/>
    </row>
    <row r="345" spans="1:25" x14ac:dyDescent="0.2">
      <c r="A345" s="469" t="s">
        <v>221</v>
      </c>
      <c r="B345" s="69" t="s">
        <v>170</v>
      </c>
      <c r="C345" s="167">
        <v>5</v>
      </c>
      <c r="D345" s="172"/>
      <c r="E345" s="478">
        <v>28.72</v>
      </c>
      <c r="F345" s="476"/>
      <c r="G345" s="478">
        <v>28.72</v>
      </c>
      <c r="H345" s="474"/>
      <c r="I345" s="101">
        <v>5</v>
      </c>
      <c r="J345" s="30">
        <v>28.72</v>
      </c>
      <c r="K345" s="30">
        <v>28.72</v>
      </c>
      <c r="L345" s="80">
        <v>5</v>
      </c>
      <c r="M345" s="80">
        <v>5</v>
      </c>
      <c r="O345" s="102">
        <v>5</v>
      </c>
      <c r="P345" s="102">
        <v>5</v>
      </c>
      <c r="R345" s="103">
        <f>G345</f>
        <v>28.72</v>
      </c>
      <c r="S345" s="103">
        <f>G345</f>
        <v>28.72</v>
      </c>
      <c r="T345" s="103">
        <f>S345</f>
        <v>28.72</v>
      </c>
      <c r="U345" s="103">
        <f>S345</f>
        <v>28.72</v>
      </c>
      <c r="W345" s="103">
        <f>G345</f>
        <v>28.72</v>
      </c>
      <c r="X345" s="103">
        <f>W345</f>
        <v>28.72</v>
      </c>
      <c r="Y345" s="103">
        <f>W345</f>
        <v>28.72</v>
      </c>
    </row>
    <row r="346" spans="1:25" x14ac:dyDescent="0.2">
      <c r="A346" s="469" t="s">
        <v>171</v>
      </c>
      <c r="B346" s="69" t="s">
        <v>135</v>
      </c>
      <c r="C346" s="167">
        <v>0.45689999999999997</v>
      </c>
      <c r="D346" s="167"/>
      <c r="E346" s="167"/>
      <c r="F346" s="167"/>
      <c r="G346" s="167"/>
      <c r="H346" s="474"/>
      <c r="I346" s="30">
        <v>0.45689999999999997</v>
      </c>
      <c r="L346" s="80">
        <f>L326*I346</f>
        <v>8.2241999999999997</v>
      </c>
      <c r="M346" s="80">
        <f>M326*I346</f>
        <v>4.569</v>
      </c>
      <c r="O346" s="102">
        <f>O326*I346</f>
        <v>51.172799999999995</v>
      </c>
      <c r="P346" s="102">
        <f>P326*I346</f>
        <v>46.6038</v>
      </c>
      <c r="R346" s="102"/>
      <c r="S346" s="102"/>
      <c r="T346" s="102"/>
      <c r="U346" s="102"/>
      <c r="W346" s="103"/>
      <c r="X346" s="103"/>
      <c r="Y346" s="103"/>
    </row>
    <row r="347" spans="1:25" x14ac:dyDescent="0.2">
      <c r="A347" s="471" t="s">
        <v>172</v>
      </c>
      <c r="B347" s="69" t="s">
        <v>135</v>
      </c>
      <c r="C347" s="167" t="e">
        <f>#REF!</f>
        <v>#REF!</v>
      </c>
      <c r="D347" s="172"/>
      <c r="E347" s="477" t="e">
        <f>C347</f>
        <v>#REF!</v>
      </c>
      <c r="F347" s="477"/>
      <c r="G347" s="477" t="e">
        <f>C347</f>
        <v>#REF!</v>
      </c>
      <c r="H347" s="474"/>
      <c r="I347" s="64">
        <v>9.2600000000000002E-2</v>
      </c>
      <c r="J347" s="64">
        <f t="shared" ref="J347:J352" si="3">I347</f>
        <v>9.2600000000000002E-2</v>
      </c>
      <c r="K347" s="64">
        <f t="shared" ref="K347:K352" si="4">I347</f>
        <v>9.2600000000000002E-2</v>
      </c>
      <c r="L347" s="80">
        <f>-(L327+L328+L335+L336+L340+L343+L345+L346)*5%</f>
        <v>-7.0700200000000013</v>
      </c>
      <c r="M347" s="80">
        <f>-(M327+M328+M335+M336+M340+M343+M345+M346)*25%</f>
        <v>-20.194500000000001</v>
      </c>
      <c r="O347" s="102">
        <f>O326*I347</f>
        <v>10.3712</v>
      </c>
      <c r="P347" s="464">
        <f>P326*I347</f>
        <v>9.4451999999999998</v>
      </c>
      <c r="R347" s="102">
        <f>R326*J347</f>
        <v>9.4451999999999998</v>
      </c>
      <c r="S347" s="102">
        <f>S326*J347</f>
        <v>457.1662</v>
      </c>
      <c r="T347" s="102">
        <f>T326*J347</f>
        <v>61.764200000000002</v>
      </c>
      <c r="U347" s="102">
        <f>U326*J347</f>
        <v>1456.0424</v>
      </c>
      <c r="W347" s="103">
        <f>W326*K347</f>
        <v>-63653.24</v>
      </c>
      <c r="X347" s="103">
        <f>X326*K347</f>
        <v>-71366.820000000007</v>
      </c>
      <c r="Y347" s="103">
        <f>Y326*K347</f>
        <v>46.300000000000004</v>
      </c>
    </row>
    <row r="348" spans="1:25" x14ac:dyDescent="0.2">
      <c r="A348" s="471" t="s">
        <v>173</v>
      </c>
      <c r="B348" s="69"/>
      <c r="C348" s="167">
        <v>1.4E-3</v>
      </c>
      <c r="D348" s="172"/>
      <c r="E348" s="477">
        <f>C348</f>
        <v>1.4E-3</v>
      </c>
      <c r="F348" s="477"/>
      <c r="G348" s="477">
        <f>C348</f>
        <v>1.4E-3</v>
      </c>
      <c r="H348" s="474"/>
      <c r="I348" s="30">
        <v>1.4E-3</v>
      </c>
      <c r="J348" s="64">
        <f t="shared" si="3"/>
        <v>1.4E-3</v>
      </c>
      <c r="K348" s="64">
        <f t="shared" si="4"/>
        <v>1.4E-3</v>
      </c>
      <c r="L348" s="106">
        <f>L326*I348</f>
        <v>2.52E-2</v>
      </c>
      <c r="M348" s="80"/>
      <c r="O348" s="80">
        <f>-(O327+O328+O335+O336+O340+O343+O345+O346+O347)*5%</f>
        <v>-43.204240000000006</v>
      </c>
      <c r="P348" s="465">
        <f>P326*I348</f>
        <v>0.14280000000000001</v>
      </c>
      <c r="R348" s="107">
        <f>R326*J348</f>
        <v>0.14280000000000001</v>
      </c>
      <c r="S348" s="107">
        <f>S326*J348</f>
        <v>6.9117999999999995</v>
      </c>
      <c r="T348" s="107">
        <f>T326*J348</f>
        <v>0.93379999999999996</v>
      </c>
      <c r="U348" s="107">
        <f>U326*J348</f>
        <v>22.0136</v>
      </c>
      <c r="W348" s="104">
        <f>W326*K348</f>
        <v>-962.36</v>
      </c>
      <c r="X348" s="104">
        <f>X326*K348</f>
        <v>-1078.98</v>
      </c>
      <c r="Y348" s="104">
        <f>Y326*K348</f>
        <v>0.7</v>
      </c>
    </row>
    <row r="349" spans="1:25" x14ac:dyDescent="0.2">
      <c r="A349" s="471" t="s">
        <v>174</v>
      </c>
      <c r="B349" s="69"/>
      <c r="C349" s="167"/>
      <c r="D349" s="167"/>
      <c r="E349" s="167"/>
      <c r="F349" s="167"/>
      <c r="G349" s="167"/>
      <c r="H349" s="474"/>
      <c r="I349" s="30">
        <v>0.40039999999999998</v>
      </c>
      <c r="J349" s="64">
        <f t="shared" si="3"/>
        <v>0.40039999999999998</v>
      </c>
      <c r="K349" s="64">
        <f t="shared" si="4"/>
        <v>0.40039999999999998</v>
      </c>
      <c r="L349" s="80">
        <f>L326*I349</f>
        <v>7.2071999999999994</v>
      </c>
      <c r="M349" s="80">
        <f>M326*J349</f>
        <v>4.0039999999999996</v>
      </c>
      <c r="O349" s="80">
        <f>O326*I349</f>
        <v>44.844799999999999</v>
      </c>
      <c r="P349" s="80">
        <f>P326*I349</f>
        <v>40.840799999999994</v>
      </c>
      <c r="R349" s="107">
        <f>R326*J349</f>
        <v>40.840799999999994</v>
      </c>
      <c r="S349" s="107">
        <f>S326*J349</f>
        <v>1976.7747999999999</v>
      </c>
      <c r="T349" s="107">
        <f>T326*J349</f>
        <v>267.0668</v>
      </c>
      <c r="U349" s="107">
        <f>U326*J349</f>
        <v>6295.8895999999995</v>
      </c>
      <c r="W349" s="80">
        <f>W326*K349</f>
        <v>-275234.95999999996</v>
      </c>
      <c r="X349" s="80">
        <f>X326*K349</f>
        <v>-308588.27999999997</v>
      </c>
      <c r="Y349" s="80">
        <f>Y326*K349</f>
        <v>200.2</v>
      </c>
    </row>
    <row r="350" spans="1:25" x14ac:dyDescent="0.2">
      <c r="A350" s="469" t="s">
        <v>175</v>
      </c>
      <c r="B350" s="69" t="s">
        <v>135</v>
      </c>
      <c r="C350" s="167">
        <f>0.1163</f>
        <v>0.1163</v>
      </c>
      <c r="D350" s="167"/>
      <c r="E350" s="167">
        <f>C350</f>
        <v>0.1163</v>
      </c>
      <c r="F350" s="167"/>
      <c r="G350" s="167">
        <f>C350</f>
        <v>0.1163</v>
      </c>
      <c r="H350" s="479"/>
      <c r="I350" s="30">
        <v>0.1163</v>
      </c>
      <c r="J350" s="64">
        <f t="shared" si="3"/>
        <v>0.1163</v>
      </c>
      <c r="K350" s="64">
        <f t="shared" si="4"/>
        <v>0.1163</v>
      </c>
      <c r="L350" s="80">
        <f>L326*I350</f>
        <v>2.0933999999999999</v>
      </c>
      <c r="M350" s="80">
        <f>M326*I350</f>
        <v>1.163</v>
      </c>
      <c r="O350" s="80">
        <f>O326*I350</f>
        <v>13.025600000000001</v>
      </c>
      <c r="P350" s="80">
        <f>P326*I350</f>
        <v>11.8626</v>
      </c>
      <c r="R350" s="80">
        <f>R326*J350</f>
        <v>11.8626</v>
      </c>
      <c r="S350" s="80">
        <f>S326*J350</f>
        <v>574.17309999999998</v>
      </c>
      <c r="T350" s="80">
        <f>T326*J350</f>
        <v>77.572100000000006</v>
      </c>
      <c r="U350" s="80">
        <f>U326*J350</f>
        <v>1828.7012</v>
      </c>
      <c r="W350" s="97">
        <f>W326*K350</f>
        <v>-79944.62</v>
      </c>
      <c r="X350" s="97">
        <f>X326*K350</f>
        <v>-89632.41</v>
      </c>
      <c r="Y350" s="97">
        <f>Y326*K350</f>
        <v>58.15</v>
      </c>
    </row>
    <row r="351" spans="1:25" x14ac:dyDescent="0.2">
      <c r="A351" s="469" t="s">
        <v>176</v>
      </c>
      <c r="B351" s="69" t="s">
        <v>135</v>
      </c>
      <c r="C351" s="167">
        <v>2.5000000000000001E-3</v>
      </c>
      <c r="D351" s="167"/>
      <c r="E351" s="167">
        <v>2.5000000000000001E-3</v>
      </c>
      <c r="F351" s="167"/>
      <c r="G351" s="477">
        <f>C351</f>
        <v>2.5000000000000001E-3</v>
      </c>
      <c r="H351" s="474"/>
      <c r="I351" s="30">
        <v>2.5000000000000001E-3</v>
      </c>
      <c r="J351" s="64">
        <f t="shared" si="3"/>
        <v>2.5000000000000001E-3</v>
      </c>
      <c r="K351" s="64">
        <f t="shared" si="4"/>
        <v>2.5000000000000001E-3</v>
      </c>
      <c r="L351" s="80">
        <f>$L$141*I351</f>
        <v>1.7500000000000002E-2</v>
      </c>
      <c r="M351" s="80">
        <f>M326*I351</f>
        <v>2.5000000000000001E-2</v>
      </c>
      <c r="O351" s="80">
        <f>O326*I351</f>
        <v>0.28000000000000003</v>
      </c>
      <c r="P351" s="80">
        <f>P326*I351</f>
        <v>0.255</v>
      </c>
      <c r="R351" s="80">
        <f>R326*J351</f>
        <v>0.255</v>
      </c>
      <c r="S351" s="80">
        <f>S326*J351</f>
        <v>12.342500000000001</v>
      </c>
      <c r="T351" s="80">
        <f>T326*J351</f>
        <v>1.6675</v>
      </c>
      <c r="U351" s="80">
        <f>U326*J351</f>
        <v>39.31</v>
      </c>
      <c r="W351" s="97">
        <f>W326*K351</f>
        <v>-1718.5</v>
      </c>
      <c r="X351" s="97">
        <f>X326*K351</f>
        <v>-1926.75</v>
      </c>
      <c r="Y351" s="97">
        <f>Y326*K351</f>
        <v>1.25</v>
      </c>
    </row>
    <row r="352" spans="1:25" x14ac:dyDescent="0.2">
      <c r="A352" s="469" t="s">
        <v>200</v>
      </c>
      <c r="B352" s="69" t="s">
        <v>135</v>
      </c>
      <c r="C352" s="167">
        <f>0.1938</f>
        <v>0.1938</v>
      </c>
      <c r="D352" s="167"/>
      <c r="E352" s="167">
        <f>C352</f>
        <v>0.1938</v>
      </c>
      <c r="F352" s="167"/>
      <c r="G352" s="477">
        <f>C352</f>
        <v>0.1938</v>
      </c>
      <c r="H352" s="479"/>
      <c r="I352" s="30">
        <v>0.1938</v>
      </c>
      <c r="J352" s="64">
        <f t="shared" si="3"/>
        <v>0.1938</v>
      </c>
      <c r="K352" s="64">
        <f t="shared" si="4"/>
        <v>0.1938</v>
      </c>
      <c r="L352" s="80">
        <f>$L$141*I352</f>
        <v>1.3566</v>
      </c>
      <c r="M352" s="80">
        <f>M326*I352</f>
        <v>1.9379999999999999</v>
      </c>
      <c r="O352" s="80">
        <f>O326*I352</f>
        <v>21.7056</v>
      </c>
      <c r="P352" s="80">
        <f>P326*I352</f>
        <v>19.767600000000002</v>
      </c>
      <c r="R352" s="80">
        <f>R326*J352</f>
        <v>19.767600000000002</v>
      </c>
      <c r="S352" s="80">
        <f>S326*J352</f>
        <v>956.79060000000004</v>
      </c>
      <c r="T352" s="80">
        <f>T326*J352</f>
        <v>129.2646</v>
      </c>
      <c r="U352" s="80">
        <f>U326*J352</f>
        <v>3047.3112000000001</v>
      </c>
      <c r="W352" s="97">
        <f>W326*K352</f>
        <v>-133218.12</v>
      </c>
      <c r="X352" s="97">
        <f>X326*K352</f>
        <v>-149361.66</v>
      </c>
      <c r="Y352" s="97">
        <f>Y326*K352</f>
        <v>96.9</v>
      </c>
    </row>
    <row r="353" spans="1:26" x14ac:dyDescent="0.2">
      <c r="A353" s="480" t="s">
        <v>182</v>
      </c>
      <c r="B353" s="69"/>
      <c r="C353" s="167"/>
      <c r="D353" s="167"/>
      <c r="E353" s="167"/>
      <c r="F353" s="167"/>
      <c r="G353" s="477"/>
      <c r="H353" s="479"/>
      <c r="I353" s="64"/>
      <c r="J353" s="64"/>
      <c r="K353" s="64"/>
      <c r="L353" s="80">
        <f>L326*I353</f>
        <v>0</v>
      </c>
      <c r="M353" s="80">
        <f>M326*I353</f>
        <v>0</v>
      </c>
      <c r="O353" s="80">
        <f>O326*I353</f>
        <v>0</v>
      </c>
      <c r="P353" s="80">
        <f>P326*I353</f>
        <v>0</v>
      </c>
      <c r="R353" s="80">
        <f>R326*J353</f>
        <v>0</v>
      </c>
      <c r="S353" s="80">
        <f>S326*J353</f>
        <v>0</v>
      </c>
      <c r="T353" s="80">
        <f>T326*J353</f>
        <v>0</v>
      </c>
      <c r="U353" s="80">
        <f>U326*J353</f>
        <v>0</v>
      </c>
      <c r="W353" s="97">
        <f>W326*K353</f>
        <v>0</v>
      </c>
      <c r="X353" s="97">
        <f>X326*K353</f>
        <v>0</v>
      </c>
      <c r="Y353" s="97">
        <f>Y326*K353</f>
        <v>0</v>
      </c>
    </row>
    <row r="354" spans="1:26" x14ac:dyDescent="0.2">
      <c r="A354" s="469" t="s">
        <v>211</v>
      </c>
      <c r="B354" s="69" t="s">
        <v>135</v>
      </c>
      <c r="C354" s="167" t="e">
        <f>#REF!</f>
        <v>#REF!</v>
      </c>
      <c r="D354" s="167"/>
      <c r="E354" s="167" t="e">
        <f>C354</f>
        <v>#REF!</v>
      </c>
      <c r="F354" s="167"/>
      <c r="G354" s="477" t="e">
        <f>C354</f>
        <v>#REF!</v>
      </c>
      <c r="H354" s="479"/>
      <c r="I354" s="30">
        <v>0.28820000000000001</v>
      </c>
      <c r="J354" s="64">
        <f t="shared" ref="J354:K356" si="5">I354</f>
        <v>0.28820000000000001</v>
      </c>
      <c r="K354" s="64">
        <f t="shared" si="5"/>
        <v>0.28820000000000001</v>
      </c>
      <c r="L354" s="115">
        <f>SUM(L327:L353)</f>
        <v>145.03028000000003</v>
      </c>
      <c r="M354" s="116">
        <f>SUM(M327:M353)</f>
        <v>67.71350000000001</v>
      </c>
      <c r="N354" s="30" t="s">
        <v>180</v>
      </c>
      <c r="O354" s="80">
        <f>O326*I354</f>
        <v>32.278400000000005</v>
      </c>
      <c r="P354" s="80">
        <f>P326*I354</f>
        <v>29.3964</v>
      </c>
      <c r="R354" s="80">
        <f>R326*J354</f>
        <v>29.3964</v>
      </c>
      <c r="S354" s="80">
        <f>S326*J354</f>
        <v>1422.8434</v>
      </c>
      <c r="T354" s="80">
        <f>T326*J354</f>
        <v>192.2294</v>
      </c>
      <c r="U354" s="80">
        <f>U326*J354</f>
        <v>4531.6567999999997</v>
      </c>
      <c r="W354" s="80">
        <f>W326*O354</f>
        <v>-22188172.160000004</v>
      </c>
      <c r="X354" s="80">
        <f>X326*O354</f>
        <v>-24876962.880000003</v>
      </c>
      <c r="Y354" s="80">
        <f>Y326*O354</f>
        <v>16139.200000000003</v>
      </c>
      <c r="Z354" s="80">
        <f>Z326*O354</f>
        <v>16139.200000000003</v>
      </c>
    </row>
    <row r="355" spans="1:26" x14ac:dyDescent="0.2">
      <c r="A355" s="469" t="s">
        <v>212</v>
      </c>
      <c r="B355" s="69" t="s">
        <v>135</v>
      </c>
      <c r="C355" s="167" t="e">
        <f>#REF!</f>
        <v>#REF!</v>
      </c>
      <c r="D355" s="167"/>
      <c r="E355" s="167" t="e">
        <f>C355</f>
        <v>#REF!</v>
      </c>
      <c r="F355" s="167"/>
      <c r="G355" s="477" t="e">
        <f>C355</f>
        <v>#REF!</v>
      </c>
      <c r="H355" s="479"/>
      <c r="I355" s="30">
        <v>2.5000000000000001E-3</v>
      </c>
      <c r="J355" s="64">
        <f t="shared" si="5"/>
        <v>2.5000000000000001E-3</v>
      </c>
      <c r="K355" s="64">
        <f t="shared" si="5"/>
        <v>2.5000000000000001E-3</v>
      </c>
      <c r="N355" s="30" t="s">
        <v>183</v>
      </c>
      <c r="O355" s="80">
        <f>O326*I355</f>
        <v>0.28000000000000003</v>
      </c>
      <c r="P355" s="80">
        <f>P326*I355</f>
        <v>0.255</v>
      </c>
      <c r="R355" s="80">
        <f>R326*J355</f>
        <v>0.255</v>
      </c>
      <c r="S355" s="80">
        <f>S326*J355</f>
        <v>12.342500000000001</v>
      </c>
      <c r="T355" s="80">
        <f>T326*J355</f>
        <v>1.6675</v>
      </c>
      <c r="U355" s="80">
        <f>U326*J355</f>
        <v>39.31</v>
      </c>
      <c r="W355" s="80">
        <f>W326*O355</f>
        <v>-192472.00000000003</v>
      </c>
      <c r="X355" s="80">
        <f>X326*O355</f>
        <v>-215796.00000000003</v>
      </c>
      <c r="Y355" s="80">
        <f>Y326*O355</f>
        <v>140</v>
      </c>
      <c r="Z355" s="80">
        <f>Z326*O355</f>
        <v>140</v>
      </c>
    </row>
    <row r="356" spans="1:26" x14ac:dyDescent="0.2">
      <c r="A356" s="469" t="s">
        <v>213</v>
      </c>
      <c r="B356" s="69" t="s">
        <v>135</v>
      </c>
      <c r="C356" s="167" t="e">
        <f>#REF!</f>
        <v>#REF!</v>
      </c>
      <c r="D356" s="167"/>
      <c r="E356" s="167" t="e">
        <f>C356</f>
        <v>#REF!</v>
      </c>
      <c r="F356" s="167"/>
      <c r="G356" s="172" t="e">
        <f>C356</f>
        <v>#REF!</v>
      </c>
      <c r="H356" s="479"/>
      <c r="I356" s="30">
        <v>3.6999999999999998E-2</v>
      </c>
      <c r="J356" s="64">
        <f t="shared" si="5"/>
        <v>3.6999999999999998E-2</v>
      </c>
      <c r="K356" s="64">
        <f t="shared" si="5"/>
        <v>3.6999999999999998E-2</v>
      </c>
      <c r="N356" s="30" t="s">
        <v>186</v>
      </c>
      <c r="O356" s="80">
        <f>O326*I356</f>
        <v>4.1440000000000001</v>
      </c>
      <c r="P356" s="80">
        <f>P326*I356</f>
        <v>3.774</v>
      </c>
      <c r="R356" s="80">
        <f>R326*J356</f>
        <v>3.774</v>
      </c>
      <c r="S356" s="80">
        <f>S326*J356</f>
        <v>182.66899999999998</v>
      </c>
      <c r="T356" s="80">
        <f>T326*J356</f>
        <v>24.678999999999998</v>
      </c>
      <c r="U356" s="80">
        <f>U326*J356</f>
        <v>581.78800000000001</v>
      </c>
      <c r="W356" s="80">
        <f>W326*O356</f>
        <v>-2848585.6</v>
      </c>
      <c r="X356" s="80">
        <f>X326*O356</f>
        <v>-3193780.8000000003</v>
      </c>
      <c r="Y356" s="80">
        <f>Y326*O356</f>
        <v>2072</v>
      </c>
      <c r="Z356" s="80">
        <f>Z326*O356</f>
        <v>2072</v>
      </c>
    </row>
    <row r="357" spans="1:26" x14ac:dyDescent="0.2">
      <c r="A357" s="469" t="s">
        <v>214</v>
      </c>
      <c r="B357" s="69" t="s">
        <v>215</v>
      </c>
      <c r="C357" s="481">
        <v>0.12</v>
      </c>
      <c r="D357" s="167"/>
      <c r="E357" s="481">
        <v>0.12</v>
      </c>
      <c r="F357" s="167"/>
      <c r="G357" s="481">
        <v>0.12</v>
      </c>
      <c r="H357" s="479"/>
      <c r="I357" s="64"/>
      <c r="J357" s="64"/>
      <c r="K357" s="64"/>
      <c r="L357" s="107" t="s">
        <v>182</v>
      </c>
      <c r="O357" s="80">
        <f>O330*I357</f>
        <v>0</v>
      </c>
      <c r="P357" s="80">
        <f>P330*I357</f>
        <v>0</v>
      </c>
      <c r="R357" s="80"/>
      <c r="S357" s="80"/>
      <c r="T357" s="80"/>
      <c r="U357" s="80">
        <f>U330*J357</f>
        <v>0</v>
      </c>
      <c r="W357" s="80"/>
      <c r="X357" s="80"/>
      <c r="Y357" s="80"/>
      <c r="Z357" s="80">
        <f>Z330*O357</f>
        <v>0</v>
      </c>
    </row>
    <row r="358" spans="1:26" x14ac:dyDescent="0.2">
      <c r="A358" s="482" t="s">
        <v>177</v>
      </c>
      <c r="B358" s="174" t="s">
        <v>135</v>
      </c>
      <c r="C358" s="175">
        <v>0.40039999999999998</v>
      </c>
      <c r="D358" s="175"/>
      <c r="E358" s="175">
        <v>0.40039999999999998</v>
      </c>
      <c r="F358" s="175"/>
      <c r="G358" s="483">
        <f>C358</f>
        <v>0.40039999999999998</v>
      </c>
      <c r="H358" s="484"/>
      <c r="I358" s="64"/>
      <c r="J358" s="64"/>
      <c r="K358" s="64"/>
      <c r="N358" s="30" t="s">
        <v>191</v>
      </c>
      <c r="O358" s="121">
        <f>(SUM(O332,O340:O347))*12%</f>
        <v>29.732543999999994</v>
      </c>
      <c r="P358" s="121">
        <f>(SUM(P332,P340:P347))*12%</f>
        <v>27.131423999999999</v>
      </c>
      <c r="R358" s="121">
        <f>(SUM(R332,R340:R347))*12%</f>
        <v>20.730840000000001</v>
      </c>
      <c r="S358" s="121">
        <f>(SUM(S332,S340:S347))*12%</f>
        <v>611.66453999999987</v>
      </c>
      <c r="T358" s="121">
        <f>(SUM(T332,T340:T347))*12%</f>
        <v>89.785139999999984</v>
      </c>
      <c r="U358" s="121">
        <f>(SUM(U332,U340:U347))*12%</f>
        <v>1930.0516799999998</v>
      </c>
      <c r="W358" s="121">
        <f>(SUM(W332,W340:W347))*12%</f>
        <v>-7630.1243999999988</v>
      </c>
      <c r="X358" s="121">
        <f>(SUM(X332,X340:X347))*12%</f>
        <v>-8555.7540000000008</v>
      </c>
      <c r="Y358" s="121">
        <f>(SUM(Y332,Y340:Y347))*12%</f>
        <v>13.820400000000001</v>
      </c>
      <c r="Z358" s="121">
        <f>(SUM(Z332,Z340:Z347))*12%</f>
        <v>0</v>
      </c>
    </row>
    <row r="359" spans="1:26" ht="13.5" thickBot="1" x14ac:dyDescent="0.25">
      <c r="A359" s="485" t="s">
        <v>178</v>
      </c>
      <c r="B359" s="177"/>
      <c r="C359" s="178" t="e">
        <f>C331+C332+C335+C336+C340+C343+C346+C347+C348+C350+C351+C352+C354+C355+C356+C358</f>
        <v>#REF!</v>
      </c>
      <c r="D359" s="179"/>
      <c r="E359" s="178" t="e">
        <f>E331+E335+E336+E340+E347+E348+E350+E351+E352+E354+E355+E356+E358</f>
        <v>#REF!</v>
      </c>
      <c r="F359" s="179"/>
      <c r="G359" s="178" t="e">
        <f>G331+G332+G335+G336+G340+G343+G346+G347+G348+G350+G351+G352+G354+G355+G356+G358</f>
        <v>#REF!</v>
      </c>
      <c r="H359" s="486"/>
      <c r="I359" s="64"/>
      <c r="J359" s="64"/>
      <c r="K359" s="64"/>
      <c r="O359" s="116">
        <f>SUM(O354:O358)</f>
        <v>66.434944000000002</v>
      </c>
      <c r="P359" s="116">
        <f>SUM(P327:P358)</f>
        <v>920.80642399999999</v>
      </c>
      <c r="R359" s="116">
        <f>SUM(R327:R358)</f>
        <v>861.08804000000009</v>
      </c>
      <c r="S359" s="116">
        <f>SUM(S327:S358)</f>
        <v>38022.027739999998</v>
      </c>
      <c r="T359" s="116">
        <f>SUM(T327:T358)</f>
        <v>5203.5763399999978</v>
      </c>
      <c r="U359" s="116">
        <f>SUM(U327:U358)</f>
        <v>120928.96807999999</v>
      </c>
      <c r="W359" s="116">
        <f>SUM(W327:W358)</f>
        <v>-28964249.952400006</v>
      </c>
      <c r="X359" s="116">
        <f>SUM(X327:X358)</f>
        <v>-32443423.604900002</v>
      </c>
      <c r="Y359" s="116">
        <f>SUM(Y327:Y358)</f>
        <v>419310.61750000011</v>
      </c>
      <c r="Z359" s="116">
        <f>SUM(Z327:Z358)</f>
        <v>18351.200000000004</v>
      </c>
    </row>
    <row r="360" spans="1:26" ht="14.25" thickTop="1" thickBot="1" x14ac:dyDescent="0.25">
      <c r="A360" s="485" t="s">
        <v>179</v>
      </c>
      <c r="B360" s="177" t="s">
        <v>166</v>
      </c>
      <c r="C360" s="180">
        <f>C345</f>
        <v>5</v>
      </c>
      <c r="D360" s="180"/>
      <c r="E360" s="180">
        <f>E342+E345</f>
        <v>68.87</v>
      </c>
      <c r="F360" s="180"/>
      <c r="G360" s="180">
        <f>G342+G345</f>
        <v>68.87</v>
      </c>
      <c r="H360" s="486"/>
    </row>
    <row r="361" spans="1:26" ht="14.25" thickTop="1" thickBot="1" x14ac:dyDescent="0.25">
      <c r="A361" s="485" t="s">
        <v>216</v>
      </c>
      <c r="B361" s="181" t="s">
        <v>158</v>
      </c>
      <c r="C361" s="178"/>
      <c r="D361" s="178"/>
      <c r="E361" s="178"/>
      <c r="F361" s="178"/>
      <c r="G361" s="180">
        <f>G339</f>
        <v>267.89999999999998</v>
      </c>
      <c r="H361" s="486"/>
      <c r="R361" s="122"/>
    </row>
    <row r="362" spans="1:26" ht="13.5" thickTop="1" x14ac:dyDescent="0.2">
      <c r="A362" s="469"/>
      <c r="B362" s="69"/>
      <c r="C362" s="167"/>
      <c r="D362" s="69"/>
      <c r="E362" s="69"/>
      <c r="F362" s="69"/>
      <c r="G362" s="69"/>
      <c r="H362" s="470"/>
    </row>
    <row r="363" spans="1:26" x14ac:dyDescent="0.2">
      <c r="A363" s="487" t="s">
        <v>5</v>
      </c>
      <c r="B363" s="67" t="s">
        <v>218</v>
      </c>
      <c r="C363" s="188"/>
      <c r="D363" s="69"/>
      <c r="E363" s="188" t="s">
        <v>193</v>
      </c>
      <c r="F363" s="188" t="s">
        <v>193</v>
      </c>
      <c r="G363" s="188"/>
      <c r="H363" s="470"/>
    </row>
    <row r="364" spans="1:26" x14ac:dyDescent="0.2">
      <c r="A364" s="487"/>
      <c r="B364" s="67"/>
      <c r="C364" s="188"/>
      <c r="D364" s="69"/>
      <c r="E364" s="188"/>
      <c r="F364" s="188" t="s">
        <v>193</v>
      </c>
      <c r="G364" s="188"/>
      <c r="H364" s="470"/>
    </row>
    <row r="365" spans="1:26" x14ac:dyDescent="0.2">
      <c r="A365" s="487"/>
      <c r="B365" s="67"/>
      <c r="C365" s="188"/>
      <c r="D365" s="69"/>
      <c r="E365" s="188"/>
      <c r="F365" s="188" t="s">
        <v>193</v>
      </c>
      <c r="G365" s="188"/>
      <c r="H365" s="470"/>
    </row>
    <row r="366" spans="1:26" x14ac:dyDescent="0.2">
      <c r="A366" s="487"/>
      <c r="B366" s="67"/>
      <c r="C366" s="67"/>
      <c r="D366" s="69"/>
      <c r="E366" s="67"/>
      <c r="F366" s="67"/>
      <c r="G366" s="67"/>
      <c r="H366" s="470"/>
    </row>
    <row r="367" spans="1:26" x14ac:dyDescent="0.2">
      <c r="A367" s="488" t="s">
        <v>14</v>
      </c>
      <c r="B367" s="189" t="s">
        <v>219</v>
      </c>
      <c r="C367" s="189"/>
      <c r="D367" s="69"/>
      <c r="E367" s="189" t="s">
        <v>195</v>
      </c>
      <c r="F367" s="189" t="s">
        <v>195</v>
      </c>
      <c r="G367" s="189"/>
      <c r="H367" s="470"/>
    </row>
    <row r="368" spans="1:26" ht="13.5" thickBot="1" x14ac:dyDescent="0.25">
      <c r="A368" s="489" t="s">
        <v>217</v>
      </c>
      <c r="B368" s="490" t="s">
        <v>12</v>
      </c>
      <c r="C368" s="490"/>
      <c r="D368" s="491"/>
      <c r="E368" s="490" t="s">
        <v>197</v>
      </c>
      <c r="F368" s="490" t="s">
        <v>197</v>
      </c>
      <c r="G368" s="490"/>
      <c r="H368" s="492"/>
    </row>
    <row r="369" spans="1:18" x14ac:dyDescent="0.2">
      <c r="A369" s="507" t="s">
        <v>64</v>
      </c>
      <c r="B369" s="504"/>
      <c r="C369" s="504"/>
      <c r="D369" s="504"/>
      <c r="E369" s="504"/>
      <c r="F369" s="504"/>
      <c r="G369" s="504"/>
      <c r="H369" s="508"/>
    </row>
    <row r="370" spans="1:18" x14ac:dyDescent="0.2">
      <c r="A370" s="509" t="s">
        <v>0</v>
      </c>
      <c r="B370" s="510"/>
      <c r="C370" s="510"/>
      <c r="D370" s="510"/>
      <c r="E370" s="510"/>
      <c r="F370" s="510"/>
      <c r="G370" s="510"/>
      <c r="H370" s="511"/>
    </row>
    <row r="371" spans="1:18" x14ac:dyDescent="0.2">
      <c r="A371" s="509"/>
      <c r="B371" s="510"/>
      <c r="C371" s="510"/>
      <c r="D371" s="510"/>
      <c r="E371" s="510"/>
      <c r="F371" s="510"/>
      <c r="G371" s="510"/>
      <c r="H371" s="511"/>
    </row>
    <row r="372" spans="1:18" x14ac:dyDescent="0.2">
      <c r="A372" s="512" t="s">
        <v>60</v>
      </c>
      <c r="B372" s="510"/>
      <c r="C372" s="510"/>
      <c r="D372" s="510"/>
      <c r="E372" s="510"/>
      <c r="F372" s="510"/>
      <c r="G372" s="510"/>
      <c r="H372" s="511"/>
    </row>
    <row r="373" spans="1:18" x14ac:dyDescent="0.2">
      <c r="A373" s="513" t="s">
        <v>227</v>
      </c>
      <c r="B373" s="510"/>
      <c r="C373" s="510"/>
      <c r="D373" s="510"/>
      <c r="E373" s="510"/>
      <c r="F373" s="510"/>
      <c r="G373" s="510"/>
      <c r="H373" s="511"/>
    </row>
    <row r="374" spans="1:18" x14ac:dyDescent="0.2">
      <c r="A374" s="513"/>
      <c r="B374" s="510"/>
      <c r="C374" s="510"/>
      <c r="D374" s="510"/>
      <c r="E374" s="510"/>
      <c r="F374" s="510"/>
      <c r="G374" s="510"/>
      <c r="H374" s="511"/>
      <c r="L374" s="257" t="s">
        <v>146</v>
      </c>
      <c r="M374" s="75" t="s">
        <v>6</v>
      </c>
      <c r="N374" s="75"/>
      <c r="O374" s="257" t="s">
        <v>146</v>
      </c>
      <c r="P374" s="413" t="s">
        <v>6</v>
      </c>
      <c r="R374" s="85" t="s">
        <v>147</v>
      </c>
    </row>
    <row r="375" spans="1:18" x14ac:dyDescent="0.2">
      <c r="A375" s="1023"/>
      <c r="B375" s="1024"/>
      <c r="C375" s="506" t="s">
        <v>6</v>
      </c>
      <c r="D375" s="1025" t="s">
        <v>47</v>
      </c>
      <c r="E375" s="1026"/>
      <c r="F375" s="1027"/>
      <c r="G375" s="1025" t="s">
        <v>13</v>
      </c>
      <c r="H375" s="1028"/>
      <c r="I375" s="505" t="s">
        <v>6</v>
      </c>
      <c r="J375" s="506" t="s">
        <v>47</v>
      </c>
      <c r="K375" s="506" t="s">
        <v>13</v>
      </c>
      <c r="L375" s="257" t="s">
        <v>130</v>
      </c>
      <c r="M375" s="260" t="s">
        <v>148</v>
      </c>
      <c r="N375" s="75"/>
      <c r="O375" s="257" t="s">
        <v>130</v>
      </c>
      <c r="P375" s="414" t="s">
        <v>130</v>
      </c>
      <c r="R375" s="80" t="s">
        <v>130</v>
      </c>
    </row>
    <row r="376" spans="1:18" x14ac:dyDescent="0.2">
      <c r="A376" s="512" t="s">
        <v>149</v>
      </c>
      <c r="B376" s="510"/>
      <c r="C376" s="514"/>
      <c r="D376" s="514"/>
      <c r="E376" s="514"/>
      <c r="F376" s="514"/>
      <c r="G376" s="514"/>
      <c r="H376" s="515"/>
      <c r="J376" s="93"/>
      <c r="L376" s="93">
        <v>18</v>
      </c>
      <c r="M376" s="93">
        <v>10</v>
      </c>
      <c r="O376" s="93">
        <v>112</v>
      </c>
      <c r="P376" s="93">
        <v>102</v>
      </c>
      <c r="R376" s="93">
        <v>102</v>
      </c>
    </row>
    <row r="377" spans="1:18" x14ac:dyDescent="0.2">
      <c r="A377" s="509" t="s">
        <v>150</v>
      </c>
      <c r="B377" s="510" t="s">
        <v>135</v>
      </c>
      <c r="C377" s="516" t="e">
        <f>#REF!</f>
        <v>#REF!</v>
      </c>
      <c r="D377" s="516"/>
      <c r="E377" s="516" t="e">
        <f>E381-E378-E379-E380</f>
        <v>#REF!</v>
      </c>
      <c r="F377" s="516"/>
      <c r="G377" s="516" t="e">
        <f>G381-G378-G379-G380</f>
        <v>#REF!</v>
      </c>
      <c r="H377" s="511"/>
      <c r="I377" s="30">
        <v>4.7754000000000003</v>
      </c>
      <c r="J377" s="30">
        <f>I377</f>
        <v>4.7754000000000003</v>
      </c>
      <c r="K377" s="30">
        <f>J377</f>
        <v>4.7754000000000003</v>
      </c>
      <c r="L377" s="80">
        <f>L376*(I377+I379+I380)</f>
        <v>85.9572</v>
      </c>
      <c r="M377" s="80">
        <f>M376*(I377+I379+I380)</f>
        <v>47.754000000000005</v>
      </c>
      <c r="O377" s="80">
        <f>O376*(I377+I379+I380)</f>
        <v>534.84480000000008</v>
      </c>
      <c r="P377" s="80">
        <f>P376*(I377+I379+I380)</f>
        <v>487.09080000000006</v>
      </c>
      <c r="R377" s="80">
        <f>R376*(J377+J379+J380)</f>
        <v>487.09080000000006</v>
      </c>
    </row>
    <row r="378" spans="1:18" x14ac:dyDescent="0.2">
      <c r="A378" s="509" t="s">
        <v>151</v>
      </c>
      <c r="B378" s="510" t="s">
        <v>135</v>
      </c>
      <c r="C378" s="516"/>
      <c r="D378" s="516"/>
      <c r="E378" s="516"/>
      <c r="F378" s="516"/>
      <c r="G378" s="516"/>
      <c r="H378" s="517"/>
      <c r="L378" s="80">
        <f>L376*I378</f>
        <v>0</v>
      </c>
      <c r="M378" s="80">
        <f>M376*I378</f>
        <v>0</v>
      </c>
      <c r="O378" s="80">
        <f>O376*I378</f>
        <v>0</v>
      </c>
      <c r="P378" s="80">
        <f>P376*I378</f>
        <v>0</v>
      </c>
      <c r="R378" s="80">
        <f>R376*J378</f>
        <v>0</v>
      </c>
    </row>
    <row r="379" spans="1:18" x14ac:dyDescent="0.2">
      <c r="A379" s="509" t="s">
        <v>232</v>
      </c>
      <c r="B379" s="510" t="s">
        <v>135</v>
      </c>
      <c r="C379" s="516"/>
      <c r="D379" s="516"/>
      <c r="E379" s="516"/>
      <c r="F379" s="516"/>
      <c r="G379" s="516"/>
      <c r="H379" s="517"/>
      <c r="M379" s="80"/>
      <c r="O379" s="80"/>
      <c r="P379" s="80"/>
      <c r="R379" s="80"/>
    </row>
    <row r="380" spans="1:18" x14ac:dyDescent="0.2">
      <c r="A380" s="509" t="s">
        <v>233</v>
      </c>
      <c r="B380" s="510" t="s">
        <v>135</v>
      </c>
      <c r="C380" s="516"/>
      <c r="D380" s="516"/>
      <c r="E380" s="516"/>
      <c r="F380" s="516"/>
      <c r="G380" s="516"/>
      <c r="H380" s="517"/>
      <c r="M380" s="80"/>
      <c r="O380" s="80"/>
      <c r="P380" s="80"/>
      <c r="R380" s="80"/>
    </row>
    <row r="381" spans="1:18" x14ac:dyDescent="0.2">
      <c r="A381" s="509" t="s">
        <v>154</v>
      </c>
      <c r="B381" s="510"/>
      <c r="C381" s="518" t="e">
        <f>#REF!</f>
        <v>#REF!</v>
      </c>
      <c r="D381" s="518"/>
      <c r="E381" s="518" t="e">
        <f>C381</f>
        <v>#REF!</v>
      </c>
      <c r="F381" s="518"/>
      <c r="G381" s="518" t="e">
        <f>C381</f>
        <v>#REF!</v>
      </c>
      <c r="H381" s="519"/>
      <c r="M381" s="80"/>
      <c r="O381" s="80"/>
      <c r="P381" s="80"/>
      <c r="R381" s="80"/>
    </row>
    <row r="382" spans="1:18" x14ac:dyDescent="0.2">
      <c r="A382" s="512" t="s">
        <v>155</v>
      </c>
      <c r="B382" s="510" t="s">
        <v>135</v>
      </c>
      <c r="C382" s="516"/>
      <c r="D382" s="516"/>
      <c r="E382" s="516"/>
      <c r="F382" s="516"/>
      <c r="G382" s="516"/>
      <c r="H382" s="511"/>
      <c r="I382" s="64"/>
      <c r="J382" s="101"/>
      <c r="K382" s="101"/>
      <c r="L382" s="80">
        <f>L376*I382</f>
        <v>0</v>
      </c>
      <c r="M382" s="80">
        <f>M376*I382</f>
        <v>0</v>
      </c>
      <c r="O382" s="102">
        <f>O376*I382</f>
        <v>0</v>
      </c>
      <c r="P382" s="102">
        <f>P376*I382</f>
        <v>0</v>
      </c>
      <c r="R382" s="102">
        <f>R376*J382</f>
        <v>0</v>
      </c>
    </row>
    <row r="383" spans="1:18" x14ac:dyDescent="0.2">
      <c r="A383" s="512" t="s">
        <v>156</v>
      </c>
      <c r="B383" s="510"/>
      <c r="C383" s="516"/>
      <c r="D383" s="516"/>
      <c r="E383" s="516"/>
      <c r="F383" s="516"/>
      <c r="G383" s="516"/>
      <c r="H383" s="511"/>
      <c r="M383" s="80"/>
      <c r="O383" s="80"/>
      <c r="P383" s="80"/>
      <c r="R383" s="80"/>
    </row>
    <row r="384" spans="1:18" x14ac:dyDescent="0.2">
      <c r="A384" s="509" t="s">
        <v>157</v>
      </c>
      <c r="B384" s="510" t="s">
        <v>158</v>
      </c>
      <c r="C384" s="516"/>
      <c r="D384" s="516"/>
      <c r="E384" s="516"/>
      <c r="F384" s="516"/>
      <c r="G384" s="516" t="e">
        <f>#REF!</f>
        <v>#REF!</v>
      </c>
      <c r="H384" s="517"/>
      <c r="K384" s="64">
        <v>244.47229999999999</v>
      </c>
      <c r="M384" s="80"/>
      <c r="O384" s="80"/>
      <c r="P384" s="80"/>
      <c r="R384" s="80"/>
    </row>
    <row r="385" spans="1:18" x14ac:dyDescent="0.2">
      <c r="A385" s="509" t="s">
        <v>159</v>
      </c>
      <c r="B385" s="510" t="s">
        <v>135</v>
      </c>
      <c r="C385" s="516" t="e">
        <f>#REF!</f>
        <v>#REF!</v>
      </c>
      <c r="D385" s="516"/>
      <c r="E385" s="516" t="e">
        <f>#REF!</f>
        <v>#REF!</v>
      </c>
      <c r="F385" s="516"/>
      <c r="G385" s="516"/>
      <c r="H385" s="517"/>
      <c r="I385" s="30">
        <v>0.77149999999999996</v>
      </c>
      <c r="J385" s="64">
        <v>0.76519999999999999</v>
      </c>
      <c r="L385" s="80">
        <f>L376*I385</f>
        <v>13.886999999999999</v>
      </c>
      <c r="M385" s="80">
        <f>M376*I385</f>
        <v>7.7149999999999999</v>
      </c>
      <c r="O385" s="80">
        <f>O376*I385</f>
        <v>86.408000000000001</v>
      </c>
      <c r="P385" s="80">
        <f>P376*I385</f>
        <v>78.692999999999998</v>
      </c>
      <c r="R385" s="80">
        <f>R376*J385</f>
        <v>78.050399999999996</v>
      </c>
    </row>
    <row r="386" spans="1:18" x14ac:dyDescent="0.2">
      <c r="A386" s="512" t="s">
        <v>160</v>
      </c>
      <c r="B386" s="510" t="s">
        <v>135</v>
      </c>
      <c r="C386" s="516" t="e">
        <f>#REF!</f>
        <v>#REF!</v>
      </c>
      <c r="D386" s="516"/>
      <c r="E386" s="516" t="e">
        <f>C386</f>
        <v>#REF!</v>
      </c>
      <c r="F386" s="516"/>
      <c r="G386" s="516" t="e">
        <f>C386</f>
        <v>#REF!</v>
      </c>
      <c r="H386" s="517"/>
      <c r="I386" s="30">
        <v>0.71040000000000003</v>
      </c>
      <c r="J386" s="30">
        <v>0.71040000000000003</v>
      </c>
      <c r="K386" s="30">
        <v>0.62290000000000001</v>
      </c>
      <c r="L386" s="80">
        <f>L376*I386</f>
        <v>12.7872</v>
      </c>
      <c r="M386" s="80">
        <f>M376*I386</f>
        <v>7.1040000000000001</v>
      </c>
      <c r="O386" s="80">
        <f>O376*I386</f>
        <v>79.564800000000005</v>
      </c>
      <c r="P386" s="80">
        <f>P376*I386</f>
        <v>72.460800000000006</v>
      </c>
      <c r="R386" s="80">
        <f>R376*J386</f>
        <v>72.460800000000006</v>
      </c>
    </row>
    <row r="387" spans="1:18" x14ac:dyDescent="0.2">
      <c r="A387" s="509"/>
      <c r="B387" s="510"/>
      <c r="C387" s="516"/>
      <c r="D387" s="516"/>
      <c r="E387" s="516"/>
      <c r="F387" s="516"/>
      <c r="G387" s="516"/>
      <c r="H387" s="517"/>
      <c r="M387" s="80"/>
      <c r="O387" s="80"/>
      <c r="P387" s="80"/>
      <c r="R387" s="80"/>
    </row>
    <row r="388" spans="1:18" x14ac:dyDescent="0.2">
      <c r="A388" s="512" t="s">
        <v>161</v>
      </c>
      <c r="B388" s="510"/>
      <c r="C388" s="516"/>
      <c r="D388" s="516"/>
      <c r="E388" s="516"/>
      <c r="F388" s="516"/>
      <c r="G388" s="516"/>
      <c r="H388" s="517"/>
      <c r="M388" s="80"/>
      <c r="O388" s="80"/>
      <c r="P388" s="80"/>
      <c r="R388" s="80"/>
    </row>
    <row r="389" spans="1:18" x14ac:dyDescent="0.2">
      <c r="A389" s="509" t="s">
        <v>162</v>
      </c>
      <c r="B389" s="510" t="s">
        <v>158</v>
      </c>
      <c r="C389" s="516"/>
      <c r="D389" s="516"/>
      <c r="E389" s="516"/>
      <c r="F389" s="516"/>
      <c r="G389" s="520">
        <v>267.89999999999998</v>
      </c>
      <c r="H389" s="517"/>
      <c r="K389" s="101">
        <v>267.89999999999998</v>
      </c>
      <c r="M389" s="80"/>
      <c r="O389" s="80"/>
      <c r="P389" s="80"/>
      <c r="R389" s="80"/>
    </row>
    <row r="390" spans="1:18" x14ac:dyDescent="0.2">
      <c r="A390" s="509" t="s">
        <v>163</v>
      </c>
      <c r="B390" s="510" t="s">
        <v>135</v>
      </c>
      <c r="C390" s="516">
        <v>0.84489999999999998</v>
      </c>
      <c r="D390" s="521"/>
      <c r="E390" s="522">
        <v>0.92589999999999995</v>
      </c>
      <c r="F390" s="516"/>
      <c r="G390" s="516"/>
      <c r="H390" s="517"/>
      <c r="I390" s="30">
        <v>0.84489999999999998</v>
      </c>
      <c r="J390" s="30">
        <v>0.92589999999999995</v>
      </c>
      <c r="L390" s="80">
        <f>L376*I390</f>
        <v>15.2082</v>
      </c>
      <c r="M390" s="80">
        <f>M376*I390</f>
        <v>8.4489999999999998</v>
      </c>
      <c r="O390" s="102">
        <f>O376*I390</f>
        <v>94.628799999999998</v>
      </c>
      <c r="P390" s="102">
        <f>P376*I390</f>
        <v>86.1798</v>
      </c>
      <c r="R390" s="102">
        <f>R376*J390</f>
        <v>94.441800000000001</v>
      </c>
    </row>
    <row r="391" spans="1:18" x14ac:dyDescent="0.2">
      <c r="A391" s="512" t="s">
        <v>164</v>
      </c>
      <c r="B391" s="510"/>
      <c r="C391" s="516"/>
      <c r="D391" s="521"/>
      <c r="E391" s="516"/>
      <c r="F391" s="516"/>
      <c r="G391" s="516"/>
      <c r="H391" s="517"/>
      <c r="M391" s="80"/>
      <c r="O391" s="102"/>
      <c r="P391" s="102"/>
      <c r="R391" s="102"/>
    </row>
    <row r="392" spans="1:18" x14ac:dyDescent="0.2">
      <c r="A392" s="509" t="s">
        <v>165</v>
      </c>
      <c r="B392" s="510" t="s">
        <v>166</v>
      </c>
      <c r="C392" s="516"/>
      <c r="D392" s="521"/>
      <c r="E392" s="523">
        <v>40.15</v>
      </c>
      <c r="F392" s="520"/>
      <c r="G392" s="523">
        <v>40.15</v>
      </c>
      <c r="H392" s="517"/>
      <c r="J392" s="30">
        <v>40.15</v>
      </c>
      <c r="K392" s="30">
        <v>40.15</v>
      </c>
      <c r="M392" s="80"/>
      <c r="O392" s="102"/>
      <c r="P392" s="102"/>
      <c r="R392" s="103">
        <f>G392</f>
        <v>40.15</v>
      </c>
    </row>
    <row r="393" spans="1:18" x14ac:dyDescent="0.2">
      <c r="A393" s="509" t="s">
        <v>167</v>
      </c>
      <c r="B393" s="510" t="s">
        <v>135</v>
      </c>
      <c r="C393" s="516">
        <v>0.7732</v>
      </c>
      <c r="D393" s="521"/>
      <c r="E393" s="520"/>
      <c r="F393" s="520"/>
      <c r="G393" s="520"/>
      <c r="H393" s="517"/>
      <c r="I393" s="30">
        <v>0.7732</v>
      </c>
      <c r="L393" s="80">
        <f>L376*I393</f>
        <v>13.9176</v>
      </c>
      <c r="M393" s="80">
        <f>M376*I393</f>
        <v>7.7320000000000002</v>
      </c>
      <c r="O393" s="102">
        <f>O376*I393</f>
        <v>86.598399999999998</v>
      </c>
      <c r="P393" s="102">
        <f>P376*I393</f>
        <v>78.866399999999999</v>
      </c>
      <c r="R393" s="102">
        <f>R376*J393</f>
        <v>0</v>
      </c>
    </row>
    <row r="394" spans="1:18" x14ac:dyDescent="0.2">
      <c r="A394" s="512" t="s">
        <v>168</v>
      </c>
      <c r="B394" s="510"/>
      <c r="C394" s="510"/>
      <c r="D394" s="521"/>
      <c r="E394" s="520"/>
      <c r="F394" s="520"/>
      <c r="G394" s="520"/>
      <c r="H394" s="517"/>
      <c r="M394" s="80"/>
      <c r="O394" s="102"/>
      <c r="P394" s="102"/>
      <c r="R394" s="102"/>
    </row>
    <row r="395" spans="1:18" x14ac:dyDescent="0.2">
      <c r="A395" s="509" t="s">
        <v>221</v>
      </c>
      <c r="B395" s="510" t="s">
        <v>170</v>
      </c>
      <c r="C395" s="516">
        <v>5</v>
      </c>
      <c r="D395" s="521"/>
      <c r="E395" s="523">
        <v>28.72</v>
      </c>
      <c r="F395" s="520"/>
      <c r="G395" s="523">
        <v>28.72</v>
      </c>
      <c r="H395" s="517"/>
      <c r="I395" s="101">
        <v>5</v>
      </c>
      <c r="J395" s="30">
        <v>28.72</v>
      </c>
      <c r="K395" s="30">
        <v>28.72</v>
      </c>
      <c r="L395" s="80">
        <v>5</v>
      </c>
      <c r="M395" s="80">
        <v>5</v>
      </c>
      <c r="O395" s="102">
        <v>5</v>
      </c>
      <c r="P395" s="102">
        <v>5</v>
      </c>
      <c r="R395" s="103">
        <f>G395</f>
        <v>28.72</v>
      </c>
    </row>
    <row r="396" spans="1:18" x14ac:dyDescent="0.2">
      <c r="A396" s="509" t="s">
        <v>171</v>
      </c>
      <c r="B396" s="510" t="s">
        <v>135</v>
      </c>
      <c r="C396" s="516">
        <v>0.45689999999999997</v>
      </c>
      <c r="D396" s="516"/>
      <c r="E396" s="516"/>
      <c r="F396" s="516"/>
      <c r="G396" s="516"/>
      <c r="H396" s="517"/>
      <c r="I396" s="30">
        <v>0.45689999999999997</v>
      </c>
      <c r="L396" s="80">
        <f>L376*I396</f>
        <v>8.2241999999999997</v>
      </c>
      <c r="M396" s="80">
        <f>M376*I396</f>
        <v>4.569</v>
      </c>
      <c r="O396" s="102">
        <f>O376*I396</f>
        <v>51.172799999999995</v>
      </c>
      <c r="P396" s="102">
        <f>P376*I396</f>
        <v>46.6038</v>
      </c>
      <c r="R396" s="102"/>
    </row>
    <row r="397" spans="1:18" x14ac:dyDescent="0.2">
      <c r="A397" s="512" t="s">
        <v>172</v>
      </c>
      <c r="B397" s="510" t="s">
        <v>135</v>
      </c>
      <c r="C397" s="516" t="e">
        <f>#REF!</f>
        <v>#REF!</v>
      </c>
      <c r="D397" s="521"/>
      <c r="E397" s="522" t="e">
        <f>C397</f>
        <v>#REF!</v>
      </c>
      <c r="F397" s="522"/>
      <c r="G397" s="522" t="e">
        <f>C397</f>
        <v>#REF!</v>
      </c>
      <c r="H397" s="517"/>
      <c r="I397" s="64">
        <v>9.1300000000000006E-2</v>
      </c>
      <c r="J397" s="64">
        <f t="shared" ref="J397:J402" si="6">I397</f>
        <v>9.1300000000000006E-2</v>
      </c>
      <c r="K397" s="64">
        <f t="shared" ref="K397:K402" si="7">I397</f>
        <v>9.1300000000000006E-2</v>
      </c>
      <c r="L397" s="80">
        <f>-(L377+L378+L385+L386+L390+L393+L395+L396)*5%</f>
        <v>-7.7490700000000006</v>
      </c>
      <c r="M397" s="80">
        <f>-(M377+M378+M385+M386+M390+M393+M395+M396)*25%</f>
        <v>-22.080750000000002</v>
      </c>
      <c r="O397" s="102">
        <f>O376*I397</f>
        <v>10.2256</v>
      </c>
      <c r="P397" s="464">
        <f>P376*I397</f>
        <v>9.3125999999999998</v>
      </c>
      <c r="R397" s="102">
        <f>R376*J397</f>
        <v>9.3125999999999998</v>
      </c>
    </row>
    <row r="398" spans="1:18" x14ac:dyDescent="0.2">
      <c r="A398" s="512" t="s">
        <v>173</v>
      </c>
      <c r="B398" s="510"/>
      <c r="C398" s="516" t="e">
        <f>#REF!</f>
        <v>#REF!</v>
      </c>
      <c r="D398" s="521"/>
      <c r="E398" s="522" t="e">
        <f>C398</f>
        <v>#REF!</v>
      </c>
      <c r="F398" s="522"/>
      <c r="G398" s="522" t="e">
        <f>C398</f>
        <v>#REF!</v>
      </c>
      <c r="H398" s="517"/>
      <c r="I398" s="30">
        <v>1.4E-3</v>
      </c>
      <c r="J398" s="64">
        <f t="shared" si="6"/>
        <v>1.4E-3</v>
      </c>
      <c r="K398" s="64">
        <f t="shared" si="7"/>
        <v>1.4E-3</v>
      </c>
      <c r="L398" s="106">
        <f>L376*I398</f>
        <v>2.52E-2</v>
      </c>
      <c r="M398" s="80"/>
      <c r="O398" s="80">
        <f>-(O377+O378+O385+O386+O390+O393+O395+O396+O397)*5%</f>
        <v>-47.422159999999998</v>
      </c>
      <c r="P398" s="465">
        <f>P376*I398</f>
        <v>0.14280000000000001</v>
      </c>
      <c r="R398" s="107">
        <f>R376*J398</f>
        <v>0.14280000000000001</v>
      </c>
    </row>
    <row r="399" spans="1:18" x14ac:dyDescent="0.2">
      <c r="A399" s="512" t="s">
        <v>174</v>
      </c>
      <c r="B399" s="510"/>
      <c r="C399" s="516"/>
      <c r="D399" s="516"/>
      <c r="E399" s="516"/>
      <c r="F399" s="516"/>
      <c r="G399" s="516"/>
      <c r="H399" s="517"/>
      <c r="I399" s="30">
        <v>0.40039999999999998</v>
      </c>
      <c r="J399" s="64">
        <f t="shared" si="6"/>
        <v>0.40039999999999998</v>
      </c>
      <c r="K399" s="64">
        <f t="shared" si="7"/>
        <v>0.40039999999999998</v>
      </c>
      <c r="L399" s="80">
        <f>L376*I399</f>
        <v>7.2071999999999994</v>
      </c>
      <c r="M399" s="80">
        <f>M376*J399</f>
        <v>4.0039999999999996</v>
      </c>
      <c r="O399" s="80">
        <f>O376*I399</f>
        <v>44.844799999999999</v>
      </c>
      <c r="P399" s="80">
        <f>P376*I399</f>
        <v>40.840799999999994</v>
      </c>
      <c r="R399" s="107">
        <f>R376*J399</f>
        <v>40.840799999999994</v>
      </c>
    </row>
    <row r="400" spans="1:18" x14ac:dyDescent="0.2">
      <c r="A400" s="509" t="s">
        <v>175</v>
      </c>
      <c r="B400" s="510" t="s">
        <v>135</v>
      </c>
      <c r="C400" s="516">
        <f>0.1163</f>
        <v>0.1163</v>
      </c>
      <c r="D400" s="516"/>
      <c r="E400" s="516">
        <f>C400</f>
        <v>0.1163</v>
      </c>
      <c r="F400" s="516"/>
      <c r="G400" s="516">
        <f>C400</f>
        <v>0.1163</v>
      </c>
      <c r="H400" s="524"/>
      <c r="I400" s="30">
        <v>0.1163</v>
      </c>
      <c r="J400" s="64">
        <f t="shared" si="6"/>
        <v>0.1163</v>
      </c>
      <c r="K400" s="64">
        <f t="shared" si="7"/>
        <v>0.1163</v>
      </c>
      <c r="L400" s="80">
        <f>L376*I400</f>
        <v>2.0933999999999999</v>
      </c>
      <c r="M400" s="80">
        <f>M376*I400</f>
        <v>1.163</v>
      </c>
      <c r="O400" s="80">
        <f>O376*I400</f>
        <v>13.025600000000001</v>
      </c>
      <c r="P400" s="80">
        <f>P376*I400</f>
        <v>11.8626</v>
      </c>
      <c r="R400" s="80">
        <f>R376*J400</f>
        <v>11.8626</v>
      </c>
    </row>
    <row r="401" spans="1:18" x14ac:dyDescent="0.2">
      <c r="A401" s="509" t="s">
        <v>176</v>
      </c>
      <c r="B401" s="510" t="s">
        <v>135</v>
      </c>
      <c r="C401" s="516">
        <v>2.5000000000000001E-3</v>
      </c>
      <c r="D401" s="516"/>
      <c r="E401" s="516">
        <v>2.5000000000000001E-3</v>
      </c>
      <c r="F401" s="516"/>
      <c r="G401" s="522">
        <f>C401</f>
        <v>2.5000000000000001E-3</v>
      </c>
      <c r="H401" s="517"/>
      <c r="I401" s="30">
        <v>2.5000000000000001E-3</v>
      </c>
      <c r="J401" s="64">
        <f t="shared" si="6"/>
        <v>2.5000000000000001E-3</v>
      </c>
      <c r="K401" s="64">
        <f t="shared" si="7"/>
        <v>2.5000000000000001E-3</v>
      </c>
      <c r="L401" s="80">
        <f>$L$141*I401</f>
        <v>1.7500000000000002E-2</v>
      </c>
      <c r="M401" s="80">
        <f>M376*I401</f>
        <v>2.5000000000000001E-2</v>
      </c>
      <c r="O401" s="80">
        <f>O376*I401</f>
        <v>0.28000000000000003</v>
      </c>
      <c r="P401" s="80">
        <f>P376*I401</f>
        <v>0.255</v>
      </c>
      <c r="R401" s="80">
        <f>R376*J401</f>
        <v>0.255</v>
      </c>
    </row>
    <row r="402" spans="1:18" x14ac:dyDescent="0.2">
      <c r="A402" s="509" t="s">
        <v>200</v>
      </c>
      <c r="B402" s="510" t="s">
        <v>135</v>
      </c>
      <c r="C402" s="516">
        <f>0.1938</f>
        <v>0.1938</v>
      </c>
      <c r="D402" s="516"/>
      <c r="E402" s="516">
        <f>C402</f>
        <v>0.1938</v>
      </c>
      <c r="F402" s="516"/>
      <c r="G402" s="522">
        <f>C402</f>
        <v>0.1938</v>
      </c>
      <c r="H402" s="524"/>
      <c r="I402" s="30">
        <v>0.1938</v>
      </c>
      <c r="J402" s="64">
        <f t="shared" si="6"/>
        <v>0.1938</v>
      </c>
      <c r="K402" s="64">
        <f t="shared" si="7"/>
        <v>0.1938</v>
      </c>
      <c r="L402" s="80">
        <f>$L$141*I402</f>
        <v>1.3566</v>
      </c>
      <c r="M402" s="80">
        <f>M376*I402</f>
        <v>1.9379999999999999</v>
      </c>
      <c r="O402" s="80">
        <f>O376*I402</f>
        <v>21.7056</v>
      </c>
      <c r="P402" s="80">
        <f>P376*I402</f>
        <v>19.767600000000002</v>
      </c>
      <c r="R402" s="80">
        <f>R376*J402</f>
        <v>19.767600000000002</v>
      </c>
    </row>
    <row r="403" spans="1:18" x14ac:dyDescent="0.2">
      <c r="A403" s="525" t="s">
        <v>182</v>
      </c>
      <c r="B403" s="510"/>
      <c r="C403" s="516"/>
      <c r="D403" s="516"/>
      <c r="E403" s="516"/>
      <c r="F403" s="516"/>
      <c r="G403" s="522"/>
      <c r="H403" s="524"/>
      <c r="I403" s="64"/>
      <c r="J403" s="64"/>
      <c r="K403" s="64"/>
      <c r="L403" s="80">
        <f>L376*I403</f>
        <v>0</v>
      </c>
      <c r="M403" s="80">
        <f>M376*I403</f>
        <v>0</v>
      </c>
      <c r="O403" s="80">
        <f>O376*I403</f>
        <v>0</v>
      </c>
      <c r="P403" s="80"/>
      <c r="R403" s="80">
        <f>R376*J403</f>
        <v>0</v>
      </c>
    </row>
    <row r="404" spans="1:18" x14ac:dyDescent="0.2">
      <c r="A404" s="509" t="s">
        <v>211</v>
      </c>
      <c r="B404" s="510" t="s">
        <v>135</v>
      </c>
      <c r="C404" s="516" t="e">
        <f>#REF!</f>
        <v>#REF!</v>
      </c>
      <c r="D404" s="516"/>
      <c r="E404" s="516" t="e">
        <f>C404</f>
        <v>#REF!</v>
      </c>
      <c r="F404" s="516"/>
      <c r="G404" s="522" t="e">
        <f>C404</f>
        <v>#REF!</v>
      </c>
      <c r="H404" s="524"/>
      <c r="I404" s="30">
        <v>0.23180000000000001</v>
      </c>
      <c r="J404" s="64">
        <f t="shared" ref="J404:K406" si="8">I404</f>
        <v>0.23180000000000001</v>
      </c>
      <c r="K404" s="64">
        <f t="shared" si="8"/>
        <v>0.23180000000000001</v>
      </c>
      <c r="L404" s="115">
        <f>SUM(L377:L403)</f>
        <v>157.93223000000003</v>
      </c>
      <c r="M404" s="116">
        <f>SUM(M377:M403)</f>
        <v>73.372250000000022</v>
      </c>
      <c r="N404" s="30" t="s">
        <v>180</v>
      </c>
      <c r="O404" s="80">
        <f>O376*I404</f>
        <v>25.961600000000001</v>
      </c>
      <c r="P404" s="80">
        <f>P376*I404</f>
        <v>23.643599999999999</v>
      </c>
      <c r="R404" s="80">
        <f>R376*J404</f>
        <v>23.643599999999999</v>
      </c>
    </row>
    <row r="405" spans="1:18" x14ac:dyDescent="0.2">
      <c r="A405" s="509" t="s">
        <v>212</v>
      </c>
      <c r="B405" s="510" t="s">
        <v>135</v>
      </c>
      <c r="C405" s="516" t="e">
        <f>#REF!</f>
        <v>#REF!</v>
      </c>
      <c r="D405" s="516"/>
      <c r="E405" s="516" t="e">
        <f>C405</f>
        <v>#REF!</v>
      </c>
      <c r="F405" s="516"/>
      <c r="G405" s="522" t="e">
        <f>C405</f>
        <v>#REF!</v>
      </c>
      <c r="H405" s="524"/>
      <c r="I405" s="30">
        <v>3.0000000000000001E-3</v>
      </c>
      <c r="J405" s="64">
        <f t="shared" si="8"/>
        <v>3.0000000000000001E-3</v>
      </c>
      <c r="K405" s="64">
        <f t="shared" si="8"/>
        <v>3.0000000000000001E-3</v>
      </c>
      <c r="N405" s="30" t="s">
        <v>183</v>
      </c>
      <c r="O405" s="80">
        <f>O376*I405</f>
        <v>0.33600000000000002</v>
      </c>
      <c r="P405" s="80">
        <f>P376*I405</f>
        <v>0.30599999999999999</v>
      </c>
      <c r="R405" s="80">
        <f>R376*J405</f>
        <v>0.30599999999999999</v>
      </c>
    </row>
    <row r="406" spans="1:18" x14ac:dyDescent="0.2">
      <c r="A406" s="509" t="s">
        <v>213</v>
      </c>
      <c r="B406" s="510" t="s">
        <v>135</v>
      </c>
      <c r="C406" s="516" t="e">
        <f>#REF!</f>
        <v>#REF!</v>
      </c>
      <c r="D406" s="516"/>
      <c r="E406" s="516" t="e">
        <f>C406</f>
        <v>#REF!</v>
      </c>
      <c r="F406" s="516"/>
      <c r="G406" s="521" t="e">
        <f>C406</f>
        <v>#REF!</v>
      </c>
      <c r="H406" s="524"/>
      <c r="I406" s="30">
        <v>0.03</v>
      </c>
      <c r="J406" s="64">
        <f t="shared" si="8"/>
        <v>0.03</v>
      </c>
      <c r="K406" s="64">
        <f t="shared" si="8"/>
        <v>0.03</v>
      </c>
      <c r="N406" s="30" t="s">
        <v>186</v>
      </c>
      <c r="O406" s="80">
        <f>O376*I406</f>
        <v>3.36</v>
      </c>
      <c r="P406" s="80">
        <f>P376*I406</f>
        <v>3.06</v>
      </c>
      <c r="R406" s="80">
        <f>R376*J406</f>
        <v>3.06</v>
      </c>
    </row>
    <row r="407" spans="1:18" x14ac:dyDescent="0.2">
      <c r="A407" s="509" t="s">
        <v>214</v>
      </c>
      <c r="B407" s="510" t="s">
        <v>215</v>
      </c>
      <c r="C407" s="526">
        <v>0.12</v>
      </c>
      <c r="D407" s="516"/>
      <c r="E407" s="526">
        <v>0.12</v>
      </c>
      <c r="F407" s="516"/>
      <c r="G407" s="526">
        <v>0.12</v>
      </c>
      <c r="H407" s="524"/>
      <c r="I407" s="64"/>
      <c r="J407" s="64"/>
      <c r="K407" s="64"/>
      <c r="L407" s="107" t="s">
        <v>182</v>
      </c>
      <c r="O407" s="80">
        <f>O380*I407</f>
        <v>0</v>
      </c>
      <c r="P407" s="80"/>
      <c r="R407" s="80"/>
    </row>
    <row r="408" spans="1:18" x14ac:dyDescent="0.2">
      <c r="A408" s="527" t="s">
        <v>177</v>
      </c>
      <c r="B408" s="528" t="s">
        <v>135</v>
      </c>
      <c r="C408" s="529">
        <v>0.40039999999999998</v>
      </c>
      <c r="D408" s="529"/>
      <c r="E408" s="529">
        <v>0.40039999999999998</v>
      </c>
      <c r="F408" s="529"/>
      <c r="G408" s="530">
        <f>C408</f>
        <v>0.40039999999999998</v>
      </c>
      <c r="H408" s="531"/>
      <c r="I408" s="64"/>
      <c r="J408" s="64"/>
      <c r="K408" s="64"/>
      <c r="N408" s="30" t="s">
        <v>191</v>
      </c>
      <c r="O408" s="121">
        <f>(SUM(O382,O390:O397))*12%</f>
        <v>29.715071999999996</v>
      </c>
      <c r="P408" s="121">
        <f>(SUM(P382,P390:P397))*12%</f>
        <v>27.115511999999999</v>
      </c>
      <c r="R408" s="121">
        <f>(SUM(R382,R390:R397))*12%</f>
        <v>20.714928</v>
      </c>
    </row>
    <row r="409" spans="1:18" ht="13.5" thickBot="1" x14ac:dyDescent="0.25">
      <c r="A409" s="532" t="s">
        <v>178</v>
      </c>
      <c r="B409" s="533"/>
      <c r="C409" s="534">
        <f>4.7754+0.7715+0.7104+0.8449+0.7732+0.4569+0.0913+0.0014+0.1163+0.0025+0.1938+0.2318+0.03+0.003+0.4004</f>
        <v>9.4027999999999992</v>
      </c>
      <c r="D409" s="535"/>
      <c r="E409" s="534">
        <f>4.7754+0.7652+0.7104+0.9259+0.0913+0.0014+0.1163+0.0025+0.1938+0.2318+0.03+0.003+0.4004</f>
        <v>8.2474000000000007</v>
      </c>
      <c r="F409" s="535"/>
      <c r="G409" s="534" t="e">
        <f>G381+G382+G385+G386+G390+G393+G396+G397+G398+G400+G401+G402+G404+G405+G406+G408</f>
        <v>#REF!</v>
      </c>
      <c r="H409" s="536"/>
      <c r="I409" s="64"/>
      <c r="J409" s="64"/>
      <c r="K409" s="64"/>
      <c r="O409" s="116">
        <f>SUM(O404:O408)</f>
        <v>59.372671999999994</v>
      </c>
      <c r="P409" s="116">
        <f>SUM(P377:P408)</f>
        <v>991.20111199999985</v>
      </c>
      <c r="R409" s="116">
        <f>SUM(R377:R408)</f>
        <v>930.81972800000005</v>
      </c>
    </row>
    <row r="410" spans="1:18" ht="14.25" thickTop="1" thickBot="1" x14ac:dyDescent="0.25">
      <c r="A410" s="532" t="s">
        <v>179</v>
      </c>
      <c r="B410" s="533" t="s">
        <v>166</v>
      </c>
      <c r="C410" s="537">
        <f>C395</f>
        <v>5</v>
      </c>
      <c r="D410" s="537"/>
      <c r="E410" s="537">
        <f>E392+E395</f>
        <v>68.87</v>
      </c>
      <c r="F410" s="537"/>
      <c r="G410" s="537">
        <f>G392+G395</f>
        <v>68.87</v>
      </c>
      <c r="H410" s="536"/>
      <c r="R410" s="581"/>
    </row>
    <row r="411" spans="1:18" ht="14.25" thickTop="1" thickBot="1" x14ac:dyDescent="0.25">
      <c r="A411" s="532" t="s">
        <v>216</v>
      </c>
      <c r="B411" s="538" t="s">
        <v>158</v>
      </c>
      <c r="C411" s="534"/>
      <c r="D411" s="534"/>
      <c r="E411" s="534"/>
      <c r="F411" s="534"/>
      <c r="G411" s="537">
        <f>G389</f>
        <v>267.89999999999998</v>
      </c>
      <c r="H411" s="536"/>
      <c r="P411" s="499"/>
      <c r="R411" s="122"/>
    </row>
    <row r="412" spans="1:18" ht="13.5" thickTop="1" x14ac:dyDescent="0.2">
      <c r="A412" s="509"/>
      <c r="B412" s="510"/>
      <c r="C412" s="500"/>
      <c r="D412" s="510"/>
      <c r="E412" s="510"/>
      <c r="F412" s="510"/>
      <c r="G412" s="510"/>
      <c r="H412" s="511"/>
    </row>
    <row r="413" spans="1:18" x14ac:dyDescent="0.2">
      <c r="A413" s="539" t="s">
        <v>5</v>
      </c>
      <c r="B413" s="540" t="s">
        <v>218</v>
      </c>
      <c r="C413" s="541"/>
      <c r="D413" s="510"/>
      <c r="E413" s="541" t="s">
        <v>193</v>
      </c>
      <c r="F413" s="541" t="s">
        <v>193</v>
      </c>
      <c r="G413" s="541"/>
      <c r="H413" s="511"/>
    </row>
    <row r="414" spans="1:18" x14ac:dyDescent="0.2">
      <c r="A414" s="539"/>
      <c r="B414" s="540"/>
      <c r="C414" s="541"/>
      <c r="D414" s="510"/>
      <c r="E414" s="541"/>
      <c r="F414" s="541" t="s">
        <v>193</v>
      </c>
      <c r="G414" s="541"/>
      <c r="H414" s="511"/>
    </row>
    <row r="415" spans="1:18" x14ac:dyDescent="0.2">
      <c r="A415" s="539"/>
      <c r="B415" s="540"/>
      <c r="C415" s="541"/>
      <c r="D415" s="510"/>
      <c r="E415" s="541"/>
      <c r="F415" s="541" t="s">
        <v>193</v>
      </c>
      <c r="G415" s="541"/>
      <c r="H415" s="511"/>
    </row>
    <row r="416" spans="1:18" x14ac:dyDescent="0.2">
      <c r="A416" s="539"/>
      <c r="B416" s="540"/>
      <c r="C416" s="540"/>
      <c r="D416" s="510"/>
      <c r="E416" s="540"/>
      <c r="F416" s="540"/>
      <c r="G416" s="540"/>
      <c r="H416" s="511"/>
    </row>
    <row r="417" spans="1:18" x14ac:dyDescent="0.2">
      <c r="A417" s="542" t="s">
        <v>14</v>
      </c>
      <c r="B417" s="543" t="s">
        <v>219</v>
      </c>
      <c r="C417" s="543"/>
      <c r="D417" s="510"/>
      <c r="E417" s="543" t="s">
        <v>195</v>
      </c>
      <c r="F417" s="543" t="s">
        <v>195</v>
      </c>
      <c r="G417" s="543"/>
      <c r="H417" s="511"/>
    </row>
    <row r="418" spans="1:18" ht="13.5" thickBot="1" x14ac:dyDescent="0.25">
      <c r="A418" s="544" t="s">
        <v>217</v>
      </c>
      <c r="B418" s="545" t="s">
        <v>12</v>
      </c>
      <c r="C418" s="545"/>
      <c r="D418" s="546"/>
      <c r="E418" s="545" t="s">
        <v>197</v>
      </c>
      <c r="F418" s="545" t="s">
        <v>197</v>
      </c>
      <c r="G418" s="545"/>
      <c r="H418" s="547"/>
    </row>
    <row r="419" spans="1:18" x14ac:dyDescent="0.2">
      <c r="A419" s="584" t="s">
        <v>64</v>
      </c>
      <c r="B419" s="585"/>
      <c r="C419" s="585"/>
      <c r="D419" s="585"/>
      <c r="E419" s="585"/>
      <c r="F419" s="585"/>
      <c r="G419" s="585"/>
      <c r="H419" s="586"/>
    </row>
    <row r="420" spans="1:18" x14ac:dyDescent="0.2">
      <c r="A420" s="587" t="s">
        <v>0</v>
      </c>
      <c r="B420" s="59"/>
      <c r="C420" s="59"/>
      <c r="D420" s="59"/>
      <c r="E420" s="59"/>
      <c r="F420" s="59"/>
      <c r="G420" s="59"/>
      <c r="H420" s="588"/>
    </row>
    <row r="421" spans="1:18" x14ac:dyDescent="0.2">
      <c r="A421" s="587"/>
      <c r="B421" s="59"/>
      <c r="C421" s="59"/>
      <c r="D421" s="59"/>
      <c r="E421" s="59"/>
      <c r="F421" s="59"/>
      <c r="G421" s="59"/>
      <c r="H421" s="588"/>
    </row>
    <row r="422" spans="1:18" x14ac:dyDescent="0.2">
      <c r="A422" s="589" t="s">
        <v>60</v>
      </c>
      <c r="B422" s="59"/>
      <c r="C422" s="59"/>
      <c r="D422" s="59"/>
      <c r="E422" s="59"/>
      <c r="F422" s="59"/>
      <c r="G422" s="59"/>
      <c r="H422" s="588"/>
    </row>
    <row r="423" spans="1:18" x14ac:dyDescent="0.2">
      <c r="A423" s="590" t="s">
        <v>236</v>
      </c>
      <c r="B423" s="59"/>
      <c r="C423" s="59"/>
      <c r="D423" s="59"/>
      <c r="E423" s="59"/>
      <c r="F423" s="59"/>
      <c r="G423" s="59"/>
      <c r="H423" s="588"/>
    </row>
    <row r="424" spans="1:18" x14ac:dyDescent="0.2">
      <c r="A424" s="590"/>
      <c r="B424" s="59"/>
      <c r="C424" s="59"/>
      <c r="D424" s="59"/>
      <c r="E424" s="59"/>
      <c r="F424" s="59"/>
      <c r="G424" s="59"/>
      <c r="H424" s="588"/>
      <c r="L424" s="257" t="s">
        <v>146</v>
      </c>
      <c r="M424" s="75" t="s">
        <v>6</v>
      </c>
      <c r="N424" s="75"/>
      <c r="O424" s="257" t="s">
        <v>146</v>
      </c>
      <c r="P424" s="413" t="s">
        <v>6</v>
      </c>
      <c r="R424" s="85" t="s">
        <v>147</v>
      </c>
    </row>
    <row r="425" spans="1:18" x14ac:dyDescent="0.2">
      <c r="A425" s="1029"/>
      <c r="B425" s="1030"/>
      <c r="C425" s="549" t="s">
        <v>6</v>
      </c>
      <c r="D425" s="1031" t="s">
        <v>47</v>
      </c>
      <c r="E425" s="1032"/>
      <c r="F425" s="1033"/>
      <c r="G425" s="1031" t="s">
        <v>13</v>
      </c>
      <c r="H425" s="1034"/>
      <c r="I425" s="548" t="s">
        <v>6</v>
      </c>
      <c r="J425" s="549" t="s">
        <v>47</v>
      </c>
      <c r="K425" s="549" t="s">
        <v>13</v>
      </c>
      <c r="L425" s="257" t="s">
        <v>130</v>
      </c>
      <c r="M425" s="260" t="s">
        <v>148</v>
      </c>
      <c r="N425" s="75"/>
      <c r="O425" s="257" t="s">
        <v>130</v>
      </c>
      <c r="P425" s="414" t="s">
        <v>130</v>
      </c>
      <c r="R425" s="80" t="s">
        <v>130</v>
      </c>
    </row>
    <row r="426" spans="1:18" x14ac:dyDescent="0.2">
      <c r="A426" s="589" t="s">
        <v>149</v>
      </c>
      <c r="B426" s="59"/>
      <c r="C426" s="591"/>
      <c r="D426" s="591"/>
      <c r="E426" s="591"/>
      <c r="F426" s="591"/>
      <c r="G426" s="591"/>
      <c r="H426" s="592"/>
      <c r="J426" s="93"/>
      <c r="L426" s="93">
        <v>18</v>
      </c>
      <c r="M426" s="93">
        <v>10</v>
      </c>
      <c r="O426" s="93">
        <v>112</v>
      </c>
      <c r="P426" s="93">
        <v>21</v>
      </c>
      <c r="R426" s="93">
        <v>102</v>
      </c>
    </row>
    <row r="427" spans="1:18" x14ac:dyDescent="0.2">
      <c r="A427" s="587" t="s">
        <v>150</v>
      </c>
      <c r="B427" s="59" t="s">
        <v>135</v>
      </c>
      <c r="C427" s="593" t="e">
        <f>#REF!</f>
        <v>#REF!</v>
      </c>
      <c r="D427" s="593"/>
      <c r="E427" s="593" t="e">
        <f>C427</f>
        <v>#REF!</v>
      </c>
      <c r="F427" s="593"/>
      <c r="G427" s="593" t="e">
        <f>C427</f>
        <v>#REF!</v>
      </c>
      <c r="H427" s="594"/>
      <c r="I427" s="30">
        <v>4.7797000000000001</v>
      </c>
      <c r="J427" s="30">
        <f>I427</f>
        <v>4.7797000000000001</v>
      </c>
      <c r="K427" s="30">
        <f>J427</f>
        <v>4.7797000000000001</v>
      </c>
      <c r="L427" s="80">
        <f>L426*(I427)</f>
        <v>86.034599999999998</v>
      </c>
      <c r="M427" s="80">
        <f>M426*(J427)</f>
        <v>47.796999999999997</v>
      </c>
      <c r="O427" s="80">
        <f>O426*(I427)</f>
        <v>535.32640000000004</v>
      </c>
      <c r="P427" s="80">
        <f>P426*(I427+I429+I430)</f>
        <v>100.3737</v>
      </c>
      <c r="R427" s="80">
        <f>R426*(J427+J429+J430)</f>
        <v>487.52940000000001</v>
      </c>
    </row>
    <row r="428" spans="1:18" x14ac:dyDescent="0.2">
      <c r="A428" s="587"/>
      <c r="B428" s="59"/>
      <c r="C428" s="595"/>
      <c r="D428" s="595"/>
      <c r="E428" s="595"/>
      <c r="F428" s="595"/>
      <c r="G428" s="595"/>
      <c r="H428" s="596"/>
      <c r="M428" s="80"/>
      <c r="O428" s="80"/>
      <c r="P428" s="80">
        <f>P426*I428</f>
        <v>0</v>
      </c>
      <c r="R428" s="80">
        <f>R426*J428</f>
        <v>0</v>
      </c>
    </row>
    <row r="429" spans="1:18" x14ac:dyDescent="0.2">
      <c r="A429" s="589" t="s">
        <v>156</v>
      </c>
      <c r="B429" s="59"/>
      <c r="C429" s="593"/>
      <c r="D429" s="593"/>
      <c r="E429" s="593"/>
      <c r="F429" s="593"/>
      <c r="G429" s="593"/>
      <c r="H429" s="588"/>
      <c r="M429" s="80"/>
      <c r="O429" s="80"/>
      <c r="P429" s="80"/>
      <c r="R429" s="80"/>
    </row>
    <row r="430" spans="1:18" x14ac:dyDescent="0.2">
      <c r="A430" s="587" t="s">
        <v>157</v>
      </c>
      <c r="B430" s="59" t="s">
        <v>158</v>
      </c>
      <c r="C430" s="593"/>
      <c r="D430" s="593"/>
      <c r="E430" s="593"/>
      <c r="F430" s="593"/>
      <c r="G430" s="593" t="e">
        <f>#REF!</f>
        <v>#REF!</v>
      </c>
      <c r="H430" s="594"/>
      <c r="K430" s="64">
        <v>249.3476</v>
      </c>
      <c r="M430" s="80"/>
      <c r="O430" s="80"/>
      <c r="P430" s="80"/>
      <c r="R430" s="80"/>
    </row>
    <row r="431" spans="1:18" x14ac:dyDescent="0.2">
      <c r="A431" s="587" t="s">
        <v>159</v>
      </c>
      <c r="B431" s="59" t="s">
        <v>135</v>
      </c>
      <c r="C431" s="593" t="e">
        <f>#REF!</f>
        <v>#REF!</v>
      </c>
      <c r="D431" s="593"/>
      <c r="E431" s="593" t="e">
        <f>#REF!</f>
        <v>#REF!</v>
      </c>
      <c r="F431" s="593"/>
      <c r="G431" s="593"/>
      <c r="H431" s="594"/>
      <c r="I431" s="30">
        <v>0.74129999999999996</v>
      </c>
      <c r="J431" s="64">
        <v>0.74129999999999996</v>
      </c>
      <c r="L431" s="80">
        <f>L426*I431</f>
        <v>13.343399999999999</v>
      </c>
      <c r="M431" s="80">
        <f>M426*I431</f>
        <v>7.4129999999999994</v>
      </c>
      <c r="O431" s="80">
        <f>O426*I431</f>
        <v>83.025599999999997</v>
      </c>
      <c r="P431" s="102">
        <f>P426*I431</f>
        <v>15.567299999999999</v>
      </c>
      <c r="R431" s="102">
        <f>R426*J431</f>
        <v>75.6126</v>
      </c>
    </row>
    <row r="432" spans="1:18" x14ac:dyDescent="0.2">
      <c r="A432" s="589" t="s">
        <v>160</v>
      </c>
      <c r="B432" s="59" t="s">
        <v>135</v>
      </c>
      <c r="C432" s="593" t="e">
        <f>#REF!</f>
        <v>#REF!</v>
      </c>
      <c r="D432" s="593"/>
      <c r="E432" s="593" t="e">
        <f>C432</f>
        <v>#REF!</v>
      </c>
      <c r="F432" s="593"/>
      <c r="G432" s="593" t="e">
        <f>C432</f>
        <v>#REF!</v>
      </c>
      <c r="H432" s="594"/>
      <c r="I432" s="30">
        <v>0.71160000000000001</v>
      </c>
      <c r="J432" s="30">
        <v>0.71160000000000001</v>
      </c>
      <c r="K432" s="30">
        <v>0.71160000000000001</v>
      </c>
      <c r="L432" s="80">
        <f>L426*I432</f>
        <v>12.8088</v>
      </c>
      <c r="M432" s="80">
        <f>M426*I432</f>
        <v>7.1159999999999997</v>
      </c>
      <c r="O432" s="80">
        <f>O426*I432</f>
        <v>79.699200000000005</v>
      </c>
      <c r="P432" s="102">
        <f>P426*I432</f>
        <v>14.9436</v>
      </c>
      <c r="R432" s="102">
        <f>R426*J432</f>
        <v>72.583200000000005</v>
      </c>
    </row>
    <row r="433" spans="1:18" x14ac:dyDescent="0.2">
      <c r="A433" s="587"/>
      <c r="B433" s="59"/>
      <c r="C433" s="593"/>
      <c r="D433" s="593"/>
      <c r="E433" s="593"/>
      <c r="F433" s="593"/>
      <c r="G433" s="593"/>
      <c r="H433" s="594"/>
      <c r="M433" s="80"/>
      <c r="O433" s="80"/>
      <c r="P433" s="80"/>
      <c r="R433" s="80"/>
    </row>
    <row r="434" spans="1:18" x14ac:dyDescent="0.2">
      <c r="A434" s="589" t="s">
        <v>161</v>
      </c>
      <c r="B434" s="59"/>
      <c r="C434" s="593"/>
      <c r="D434" s="593"/>
      <c r="E434" s="593"/>
      <c r="F434" s="593"/>
      <c r="G434" s="593"/>
      <c r="H434" s="594"/>
      <c r="M434" s="80"/>
      <c r="O434" s="80"/>
      <c r="P434" s="80"/>
      <c r="R434" s="80"/>
    </row>
    <row r="435" spans="1:18" x14ac:dyDescent="0.2">
      <c r="A435" s="587" t="s">
        <v>162</v>
      </c>
      <c r="B435" s="59" t="s">
        <v>158</v>
      </c>
      <c r="C435" s="593"/>
      <c r="D435" s="593"/>
      <c r="E435" s="593"/>
      <c r="F435" s="593"/>
      <c r="G435" s="597">
        <v>267.89999999999998</v>
      </c>
      <c r="H435" s="594"/>
      <c r="K435" s="101">
        <v>267.89999999999998</v>
      </c>
      <c r="M435" s="80"/>
      <c r="O435" s="80"/>
      <c r="P435" s="80">
        <f>P426*I435</f>
        <v>0</v>
      </c>
      <c r="R435" s="80">
        <f>R426*J435</f>
        <v>0</v>
      </c>
    </row>
    <row r="436" spans="1:18" x14ac:dyDescent="0.2">
      <c r="A436" s="587" t="s">
        <v>163</v>
      </c>
      <c r="B436" s="59" t="s">
        <v>135</v>
      </c>
      <c r="C436" s="593">
        <v>0.84489999999999998</v>
      </c>
      <c r="D436" s="598"/>
      <c r="E436" s="599">
        <v>0.92589999999999995</v>
      </c>
      <c r="F436" s="593"/>
      <c r="G436" s="593"/>
      <c r="H436" s="594"/>
      <c r="I436" s="30">
        <v>0.84489999999999998</v>
      </c>
      <c r="J436" s="30">
        <v>0.92589999999999995</v>
      </c>
      <c r="L436" s="80">
        <f>L426*I436</f>
        <v>15.2082</v>
      </c>
      <c r="M436" s="80">
        <f>M426*I436</f>
        <v>8.4489999999999998</v>
      </c>
      <c r="O436" s="102">
        <f>O426*I436</f>
        <v>94.628799999999998</v>
      </c>
      <c r="P436" s="80">
        <f>P426*I436</f>
        <v>17.742899999999999</v>
      </c>
      <c r="R436" s="80">
        <f>R426*J436</f>
        <v>94.441800000000001</v>
      </c>
    </row>
    <row r="437" spans="1:18" x14ac:dyDescent="0.2">
      <c r="A437" s="589" t="s">
        <v>164</v>
      </c>
      <c r="B437" s="59"/>
      <c r="C437" s="593"/>
      <c r="D437" s="598"/>
      <c r="E437" s="593"/>
      <c r="F437" s="593"/>
      <c r="G437" s="593"/>
      <c r="H437" s="594"/>
      <c r="M437" s="80"/>
      <c r="O437" s="102"/>
      <c r="P437" s="80"/>
      <c r="R437" s="80"/>
    </row>
    <row r="438" spans="1:18" x14ac:dyDescent="0.2">
      <c r="A438" s="587" t="s">
        <v>165</v>
      </c>
      <c r="B438" s="59" t="s">
        <v>166</v>
      </c>
      <c r="C438" s="593"/>
      <c r="D438" s="598"/>
      <c r="E438" s="600">
        <v>40.15</v>
      </c>
      <c r="F438" s="597"/>
      <c r="G438" s="600">
        <v>40.15</v>
      </c>
      <c r="H438" s="594"/>
      <c r="J438" s="30">
        <v>40.15</v>
      </c>
      <c r="K438" s="30">
        <v>40.15</v>
      </c>
      <c r="M438" s="80"/>
      <c r="O438" s="102"/>
      <c r="P438" s="80"/>
      <c r="R438" s="80">
        <f>J438</f>
        <v>40.15</v>
      </c>
    </row>
    <row r="439" spans="1:18" x14ac:dyDescent="0.2">
      <c r="A439" s="587" t="s">
        <v>167</v>
      </c>
      <c r="B439" s="59" t="s">
        <v>135</v>
      </c>
      <c r="C439" s="593">
        <v>0.7732</v>
      </c>
      <c r="D439" s="598"/>
      <c r="E439" s="597"/>
      <c r="F439" s="597"/>
      <c r="G439" s="597"/>
      <c r="H439" s="594"/>
      <c r="I439" s="30">
        <v>0.7732</v>
      </c>
      <c r="L439" s="80">
        <f>L426*I439</f>
        <v>13.9176</v>
      </c>
      <c r="M439" s="80">
        <f>M426*I439</f>
        <v>7.7320000000000002</v>
      </c>
      <c r="O439" s="102">
        <f>O426*I439</f>
        <v>86.598399999999998</v>
      </c>
      <c r="P439" s="102">
        <f>P426*I439</f>
        <v>16.237200000000001</v>
      </c>
      <c r="R439" s="80"/>
    </row>
    <row r="440" spans="1:18" x14ac:dyDescent="0.2">
      <c r="A440" s="589" t="s">
        <v>168</v>
      </c>
      <c r="B440" s="59"/>
      <c r="C440" s="59"/>
      <c r="D440" s="598"/>
      <c r="E440" s="597"/>
      <c r="F440" s="597"/>
      <c r="G440" s="597"/>
      <c r="H440" s="594"/>
      <c r="M440" s="80"/>
      <c r="O440" s="102"/>
      <c r="P440" s="102"/>
      <c r="R440" s="102">
        <f>R426*J440</f>
        <v>0</v>
      </c>
    </row>
    <row r="441" spans="1:18" x14ac:dyDescent="0.2">
      <c r="A441" s="587" t="s">
        <v>221</v>
      </c>
      <c r="B441" s="59" t="s">
        <v>170</v>
      </c>
      <c r="C441" s="593">
        <v>5</v>
      </c>
      <c r="D441" s="598"/>
      <c r="E441" s="600">
        <v>28.72</v>
      </c>
      <c r="F441" s="597"/>
      <c r="G441" s="600">
        <v>28.72</v>
      </c>
      <c r="H441" s="594"/>
      <c r="I441" s="101">
        <v>5</v>
      </c>
      <c r="J441" s="30">
        <v>28.72</v>
      </c>
      <c r="K441" s="30">
        <v>28.72</v>
      </c>
      <c r="L441" s="80">
        <v>5</v>
      </c>
      <c r="M441" s="80">
        <v>5</v>
      </c>
      <c r="O441" s="102">
        <v>5</v>
      </c>
      <c r="P441" s="80">
        <v>5</v>
      </c>
      <c r="R441" s="102">
        <f>J441</f>
        <v>28.72</v>
      </c>
    </row>
    <row r="442" spans="1:18" x14ac:dyDescent="0.2">
      <c r="A442" s="587" t="s">
        <v>171</v>
      </c>
      <c r="B442" s="59" t="s">
        <v>135</v>
      </c>
      <c r="C442" s="593">
        <v>0.45689999999999997</v>
      </c>
      <c r="D442" s="593"/>
      <c r="E442" s="593"/>
      <c r="F442" s="593"/>
      <c r="G442" s="593"/>
      <c r="H442" s="594"/>
      <c r="I442" s="30">
        <v>0.45689999999999997</v>
      </c>
      <c r="L442" s="80">
        <f>L426*I442</f>
        <v>8.2241999999999997</v>
      </c>
      <c r="M442" s="80">
        <f>M426*I442</f>
        <v>4.569</v>
      </c>
      <c r="O442" s="102">
        <f>O426*I442</f>
        <v>51.172799999999995</v>
      </c>
      <c r="P442" s="80">
        <f>P426*I442</f>
        <v>9.5948999999999991</v>
      </c>
      <c r="R442" s="103">
        <f>G442</f>
        <v>0</v>
      </c>
    </row>
    <row r="443" spans="1:18" x14ac:dyDescent="0.2">
      <c r="A443" s="589" t="s">
        <v>172</v>
      </c>
      <c r="B443" s="59" t="s">
        <v>135</v>
      </c>
      <c r="C443" s="593" t="e">
        <f>#REF!</f>
        <v>#REF!</v>
      </c>
      <c r="D443" s="598"/>
      <c r="E443" s="599" t="e">
        <f>C443</f>
        <v>#REF!</v>
      </c>
      <c r="F443" s="599"/>
      <c r="G443" s="599" t="e">
        <f>C443</f>
        <v>#REF!</v>
      </c>
      <c r="H443" s="594"/>
      <c r="I443" s="64">
        <v>9.3100000000000002E-2</v>
      </c>
      <c r="J443" s="64">
        <f t="shared" ref="J443:K452" si="9">I443</f>
        <v>9.3100000000000002E-2</v>
      </c>
      <c r="K443" s="64">
        <f t="shared" ref="K443:K449" si="10">I443</f>
        <v>9.3100000000000002E-2</v>
      </c>
      <c r="L443" s="80">
        <f>-(L427+L431+L432+L436+L439+L441+L442)*25%</f>
        <v>-38.6342</v>
      </c>
      <c r="M443" s="80">
        <f>-(M427+M431+M432+M436+M439+M441+M442)*25%</f>
        <v>-22.018999999999998</v>
      </c>
      <c r="O443" s="102">
        <f>O426*I443</f>
        <v>10.427200000000001</v>
      </c>
      <c r="P443" s="80">
        <f>P426*I443</f>
        <v>1.9551000000000001</v>
      </c>
      <c r="R443" s="102">
        <f>R426*J443</f>
        <v>9.4962</v>
      </c>
    </row>
    <row r="444" spans="1:18" x14ac:dyDescent="0.2">
      <c r="A444" s="589" t="s">
        <v>173</v>
      </c>
      <c r="B444" s="59"/>
      <c r="C444" s="593" t="e">
        <f>#REF!</f>
        <v>#REF!</v>
      </c>
      <c r="D444" s="598"/>
      <c r="E444" s="599" t="e">
        <f>C444</f>
        <v>#REF!</v>
      </c>
      <c r="F444" s="599"/>
      <c r="G444" s="599" t="e">
        <f>C444</f>
        <v>#REF!</v>
      </c>
      <c r="H444" s="594"/>
      <c r="I444" s="30">
        <v>1.2999999999999999E-3</v>
      </c>
      <c r="J444" s="64">
        <f t="shared" si="9"/>
        <v>1.2999999999999999E-3</v>
      </c>
      <c r="K444" s="64">
        <f t="shared" si="10"/>
        <v>1.2999999999999999E-3</v>
      </c>
      <c r="L444" s="106">
        <f>L422*I444</f>
        <v>0</v>
      </c>
      <c r="M444" s="80"/>
      <c r="O444" s="80">
        <f>-(O427+O431+O432+O436+O439+O441+O442+O443)*5%</f>
        <v>-47.29392</v>
      </c>
      <c r="P444" s="80">
        <f>P426*I444</f>
        <v>2.7299999999999998E-2</v>
      </c>
      <c r="R444" s="107">
        <f>R426*J444</f>
        <v>0.1326</v>
      </c>
    </row>
    <row r="445" spans="1:18" x14ac:dyDescent="0.2">
      <c r="A445" s="589" t="s">
        <v>174</v>
      </c>
      <c r="B445" s="59"/>
      <c r="C445" s="593"/>
      <c r="D445" s="593"/>
      <c r="E445" s="593"/>
      <c r="F445" s="593"/>
      <c r="G445" s="593"/>
      <c r="H445" s="594"/>
      <c r="I445" s="30">
        <v>0.40039999999999998</v>
      </c>
      <c r="J445" s="64">
        <f t="shared" si="9"/>
        <v>0.40039999999999998</v>
      </c>
      <c r="K445" s="64">
        <f t="shared" si="10"/>
        <v>0.40039999999999998</v>
      </c>
      <c r="L445" s="80">
        <f>L426*I445</f>
        <v>7.2071999999999994</v>
      </c>
      <c r="M445" s="80">
        <f>M426*J445</f>
        <v>4.0039999999999996</v>
      </c>
      <c r="O445" s="80">
        <f>O426*I445</f>
        <v>44.844799999999999</v>
      </c>
      <c r="P445" s="80">
        <f>P426*I445</f>
        <v>8.4084000000000003</v>
      </c>
      <c r="R445" s="107">
        <f>R426*J445</f>
        <v>40.840799999999994</v>
      </c>
    </row>
    <row r="446" spans="1:18" x14ac:dyDescent="0.2">
      <c r="A446" s="587" t="s">
        <v>175</v>
      </c>
      <c r="B446" s="59" t="s">
        <v>135</v>
      </c>
      <c r="C446" s="593">
        <f>0.1163</f>
        <v>0.1163</v>
      </c>
      <c r="D446" s="593"/>
      <c r="E446" s="593">
        <f>C446</f>
        <v>0.1163</v>
      </c>
      <c r="F446" s="593"/>
      <c r="G446" s="593">
        <f>C446</f>
        <v>0.1163</v>
      </c>
      <c r="H446" s="601"/>
      <c r="I446" s="30">
        <v>0.1163</v>
      </c>
      <c r="J446" s="64">
        <f t="shared" si="9"/>
        <v>0.1163</v>
      </c>
      <c r="K446" s="64">
        <f t="shared" si="10"/>
        <v>0.1163</v>
      </c>
      <c r="L446" s="80">
        <f>L426*I446</f>
        <v>2.0933999999999999</v>
      </c>
      <c r="M446" s="80">
        <f>M426*I446</f>
        <v>1.163</v>
      </c>
      <c r="O446" s="80">
        <f>O426*I446</f>
        <v>13.025600000000001</v>
      </c>
      <c r="P446" s="80">
        <f>P426*I446</f>
        <v>2.4422999999999999</v>
      </c>
      <c r="R446" s="80">
        <f>R426*J446</f>
        <v>11.8626</v>
      </c>
    </row>
    <row r="447" spans="1:18" x14ac:dyDescent="0.2">
      <c r="A447" s="587" t="s">
        <v>176</v>
      </c>
      <c r="B447" s="59" t="s">
        <v>135</v>
      </c>
      <c r="C447" s="593">
        <v>2.5000000000000001E-3</v>
      </c>
      <c r="D447" s="593"/>
      <c r="E447" s="593">
        <v>2.5000000000000001E-3</v>
      </c>
      <c r="F447" s="593"/>
      <c r="G447" s="599">
        <f>C447</f>
        <v>2.5000000000000001E-3</v>
      </c>
      <c r="H447" s="594"/>
      <c r="I447" s="30">
        <v>2.5000000000000001E-3</v>
      </c>
      <c r="J447" s="64">
        <f t="shared" si="9"/>
        <v>2.5000000000000001E-3</v>
      </c>
      <c r="K447" s="64">
        <f t="shared" si="10"/>
        <v>2.5000000000000001E-3</v>
      </c>
      <c r="L447" s="80">
        <f>$L$141*I447</f>
        <v>1.7500000000000002E-2</v>
      </c>
      <c r="M447" s="80">
        <f>M426*I447</f>
        <v>2.5000000000000001E-2</v>
      </c>
      <c r="O447" s="80">
        <f>O426*I447</f>
        <v>0.28000000000000003</v>
      </c>
      <c r="P447" s="80">
        <f>P426*I447</f>
        <v>5.2499999999999998E-2</v>
      </c>
      <c r="R447" s="80">
        <f>R426*J447</f>
        <v>0.255</v>
      </c>
    </row>
    <row r="448" spans="1:18" x14ac:dyDescent="0.2">
      <c r="A448" s="587" t="s">
        <v>200</v>
      </c>
      <c r="B448" s="59" t="s">
        <v>135</v>
      </c>
      <c r="C448" s="593">
        <f>0.1938</f>
        <v>0.1938</v>
      </c>
      <c r="D448" s="593"/>
      <c r="E448" s="593">
        <f>C448</f>
        <v>0.1938</v>
      </c>
      <c r="F448" s="593"/>
      <c r="G448" s="599">
        <f>C448</f>
        <v>0.1938</v>
      </c>
      <c r="H448" s="601"/>
      <c r="I448" s="30">
        <v>0.1938</v>
      </c>
      <c r="J448" s="64">
        <f t="shared" si="9"/>
        <v>0.1938</v>
      </c>
      <c r="K448" s="64">
        <f t="shared" si="10"/>
        <v>0.1938</v>
      </c>
      <c r="L448" s="80">
        <f>$L$141*I448</f>
        <v>1.3566</v>
      </c>
      <c r="M448" s="80">
        <f>M426*I448</f>
        <v>1.9379999999999999</v>
      </c>
      <c r="O448" s="80">
        <f>O426*I448</f>
        <v>21.7056</v>
      </c>
      <c r="P448" s="80">
        <f>P426*I448</f>
        <v>4.0697999999999999</v>
      </c>
      <c r="R448" s="80">
        <f>R426*J448</f>
        <v>19.767600000000002</v>
      </c>
    </row>
    <row r="449" spans="1:18" x14ac:dyDescent="0.2">
      <c r="A449" s="602" t="s">
        <v>182</v>
      </c>
      <c r="B449" s="59"/>
      <c r="C449" s="593"/>
      <c r="D449" s="593"/>
      <c r="E449" s="593"/>
      <c r="F449" s="593"/>
      <c r="G449" s="599"/>
      <c r="H449" s="601"/>
      <c r="I449" s="626">
        <v>0.49299999999999999</v>
      </c>
      <c r="J449" s="64">
        <f t="shared" si="9"/>
        <v>0.49299999999999999</v>
      </c>
      <c r="K449" s="64">
        <f t="shared" si="10"/>
        <v>0.49299999999999999</v>
      </c>
      <c r="L449" s="80">
        <f>L426*I449</f>
        <v>8.8740000000000006</v>
      </c>
      <c r="M449" s="80">
        <f>M426*I449</f>
        <v>4.93</v>
      </c>
      <c r="O449" s="80">
        <f>O426*I449</f>
        <v>55.216000000000001</v>
      </c>
      <c r="P449" s="80">
        <f>P426*I449</f>
        <v>10.353</v>
      </c>
      <c r="R449" s="80">
        <f>R426*J449</f>
        <v>50.286000000000001</v>
      </c>
    </row>
    <row r="450" spans="1:18" x14ac:dyDescent="0.2">
      <c r="A450" s="587" t="s">
        <v>211</v>
      </c>
      <c r="B450" s="59" t="s">
        <v>135</v>
      </c>
      <c r="C450" s="593" t="e">
        <f>#REF!</f>
        <v>#REF!</v>
      </c>
      <c r="D450" s="593"/>
      <c r="E450" s="593" t="e">
        <f>C450</f>
        <v>#REF!</v>
      </c>
      <c r="F450" s="593"/>
      <c r="G450" s="599" t="e">
        <f>C450</f>
        <v>#REF!</v>
      </c>
      <c r="H450" s="601"/>
      <c r="I450" s="30">
        <v>0.3034</v>
      </c>
      <c r="J450" s="64">
        <f t="shared" si="9"/>
        <v>0.3034</v>
      </c>
      <c r="K450" s="64">
        <f t="shared" si="9"/>
        <v>0.3034</v>
      </c>
      <c r="L450" s="115">
        <f>SUM(L427:L449)</f>
        <v>135.4513</v>
      </c>
      <c r="M450" s="116">
        <f>SUM(M427:M449)</f>
        <v>78.11699999999999</v>
      </c>
      <c r="N450" s="30" t="s">
        <v>180</v>
      </c>
      <c r="O450" s="80">
        <f>O426*I450</f>
        <v>33.980800000000002</v>
      </c>
      <c r="P450" s="80">
        <f>P426*I450</f>
        <v>6.3714000000000004</v>
      </c>
      <c r="R450" s="80">
        <f>R426*J450</f>
        <v>30.9468</v>
      </c>
    </row>
    <row r="451" spans="1:18" x14ac:dyDescent="0.2">
      <c r="A451" s="587" t="s">
        <v>212</v>
      </c>
      <c r="B451" s="59" t="s">
        <v>135</v>
      </c>
      <c r="C451" s="593" t="e">
        <f>#REF!</f>
        <v>#REF!</v>
      </c>
      <c r="D451" s="593"/>
      <c r="E451" s="593" t="e">
        <f>C451</f>
        <v>#REF!</v>
      </c>
      <c r="F451" s="593"/>
      <c r="G451" s="599" t="e">
        <f>C451</f>
        <v>#REF!</v>
      </c>
      <c r="H451" s="601"/>
      <c r="I451" s="30">
        <v>2.8E-3</v>
      </c>
      <c r="J451" s="64">
        <f t="shared" si="9"/>
        <v>2.8E-3</v>
      </c>
      <c r="K451" s="64">
        <f t="shared" si="9"/>
        <v>2.8E-3</v>
      </c>
      <c r="N451" s="30" t="s">
        <v>183</v>
      </c>
      <c r="O451" s="80">
        <f>O426*I451</f>
        <v>0.31359999999999999</v>
      </c>
      <c r="P451" s="80">
        <f>P426*I451</f>
        <v>5.8799999999999998E-2</v>
      </c>
      <c r="R451" s="80">
        <f>R426*J451</f>
        <v>0.28560000000000002</v>
      </c>
    </row>
    <row r="452" spans="1:18" x14ac:dyDescent="0.2">
      <c r="A452" s="587" t="s">
        <v>213</v>
      </c>
      <c r="B452" s="59" t="s">
        <v>135</v>
      </c>
      <c r="C452" s="593" t="e">
        <f>#REF!</f>
        <v>#REF!</v>
      </c>
      <c r="D452" s="593"/>
      <c r="E452" s="593" t="e">
        <f>C452</f>
        <v>#REF!</v>
      </c>
      <c r="F452" s="593"/>
      <c r="G452" s="599" t="e">
        <f>C452</f>
        <v>#REF!</v>
      </c>
      <c r="H452" s="601"/>
      <c r="I452" s="30">
        <v>3.9399999999999998E-2</v>
      </c>
      <c r="J452" s="64">
        <f t="shared" si="9"/>
        <v>3.9399999999999998E-2</v>
      </c>
      <c r="K452" s="64">
        <f t="shared" si="9"/>
        <v>3.9399999999999998E-2</v>
      </c>
      <c r="N452" s="30" t="s">
        <v>186</v>
      </c>
      <c r="O452" s="80">
        <f>O426*I452</f>
        <v>4.4127999999999998</v>
      </c>
      <c r="P452" s="80">
        <f>P426*I452</f>
        <v>0.82739999999999991</v>
      </c>
      <c r="R452" s="80">
        <f>R426*J452</f>
        <v>4.0187999999999997</v>
      </c>
    </row>
    <row r="453" spans="1:18" x14ac:dyDescent="0.2">
      <c r="A453" s="587" t="s">
        <v>214</v>
      </c>
      <c r="B453" s="59" t="s">
        <v>215</v>
      </c>
      <c r="C453" s="603">
        <v>0.12</v>
      </c>
      <c r="D453" s="593"/>
      <c r="E453" s="603">
        <v>0.12</v>
      </c>
      <c r="F453" s="593"/>
      <c r="G453" s="603">
        <v>0.12</v>
      </c>
      <c r="H453" s="601"/>
      <c r="I453" s="64"/>
      <c r="J453" s="64"/>
      <c r="K453" s="64"/>
      <c r="L453" s="107" t="s">
        <v>182</v>
      </c>
      <c r="O453" s="80"/>
      <c r="P453" s="80"/>
      <c r="R453" s="80">
        <f>R426*J453</f>
        <v>0</v>
      </c>
    </row>
    <row r="454" spans="1:18" x14ac:dyDescent="0.2">
      <c r="A454" s="604" t="s">
        <v>177</v>
      </c>
      <c r="B454" s="605" t="s">
        <v>135</v>
      </c>
      <c r="C454" s="606">
        <v>0.40039999999999998</v>
      </c>
      <c r="D454" s="606"/>
      <c r="E454" s="606">
        <v>0.40039999999999998</v>
      </c>
      <c r="F454" s="606"/>
      <c r="G454" s="607">
        <f>C454</f>
        <v>0.40039999999999998</v>
      </c>
      <c r="H454" s="608"/>
      <c r="I454" s="64"/>
      <c r="J454" s="64"/>
      <c r="K454" s="64"/>
      <c r="N454" s="30" t="s">
        <v>191</v>
      </c>
      <c r="O454" s="121"/>
      <c r="P454" s="121">
        <f>(SUM(P428,P436:P443))*12%</f>
        <v>6.063612</v>
      </c>
      <c r="R454" s="121">
        <f>(SUM(R428,R436:R443))*12%</f>
        <v>20.73696</v>
      </c>
    </row>
    <row r="455" spans="1:18" ht="13.5" thickBot="1" x14ac:dyDescent="0.25">
      <c r="A455" s="609" t="s">
        <v>178</v>
      </c>
      <c r="B455" s="610"/>
      <c r="C455" s="611">
        <f>4.7797+0.7413+0.7116+0.8449+0.7732+0.4569+0.0931+0.0013+0.1163+0.0025+0.1938+0.3034+0.0028+0.0394+0.4004</f>
        <v>9.4605999999999995</v>
      </c>
      <c r="D455" s="612"/>
      <c r="E455" s="611">
        <f>4.7797+0.7413+0.7116+0.9259+0.0931+0.0013+0.1163+0.0025+0.1938+0.3034+0.0028+0.0394+0.4004</f>
        <v>8.3114999999999988</v>
      </c>
      <c r="F455" s="612"/>
      <c r="G455" s="611" t="e">
        <f>G427+G432+G443+G444+G446+G447+G448+G450+G451+G452+G454</f>
        <v>#REF!</v>
      </c>
      <c r="H455" s="613"/>
      <c r="I455" s="64"/>
      <c r="J455" s="64"/>
      <c r="K455" s="64"/>
      <c r="O455" s="116">
        <f>SUM(O450:O454)</f>
        <v>38.7072</v>
      </c>
      <c r="P455" s="80">
        <f>P426*I455</f>
        <v>0</v>
      </c>
      <c r="R455" s="80">
        <f>R426*J455</f>
        <v>0</v>
      </c>
    </row>
    <row r="456" spans="1:18" ht="14.25" thickTop="1" thickBot="1" x14ac:dyDescent="0.25">
      <c r="A456" s="609" t="s">
        <v>179</v>
      </c>
      <c r="B456" s="610" t="s">
        <v>166</v>
      </c>
      <c r="C456" s="614">
        <f>C441</f>
        <v>5</v>
      </c>
      <c r="D456" s="614"/>
      <c r="E456" s="614">
        <f>E438+E441</f>
        <v>68.87</v>
      </c>
      <c r="F456" s="614"/>
      <c r="G456" s="614">
        <f>G438+G441</f>
        <v>68.87</v>
      </c>
      <c r="H456" s="613"/>
      <c r="P456" s="80">
        <f>P426*I456</f>
        <v>0</v>
      </c>
      <c r="R456" s="80">
        <f>R426*J456</f>
        <v>0</v>
      </c>
    </row>
    <row r="457" spans="1:18" ht="14.25" thickTop="1" thickBot="1" x14ac:dyDescent="0.25">
      <c r="A457" s="609" t="s">
        <v>216</v>
      </c>
      <c r="B457" s="615" t="s">
        <v>158</v>
      </c>
      <c r="C457" s="611"/>
      <c r="D457" s="611"/>
      <c r="E457" s="611"/>
      <c r="F457" s="611"/>
      <c r="G457" s="614">
        <f>G435</f>
        <v>267.89999999999998</v>
      </c>
      <c r="H457" s="613"/>
      <c r="P457" s="80"/>
      <c r="R457" s="80"/>
    </row>
    <row r="458" spans="1:18" ht="13.5" thickTop="1" x14ac:dyDescent="0.2">
      <c r="A458" s="587"/>
      <c r="B458" s="59"/>
      <c r="C458" s="616"/>
      <c r="D458" s="59"/>
      <c r="E458" s="616"/>
      <c r="F458" s="59"/>
      <c r="G458" s="616"/>
      <c r="H458" s="588"/>
      <c r="P458" s="121"/>
      <c r="R458" s="121"/>
    </row>
    <row r="459" spans="1:18" x14ac:dyDescent="0.2">
      <c r="A459" s="617" t="s">
        <v>5</v>
      </c>
      <c r="B459" s="618" t="s">
        <v>218</v>
      </c>
      <c r="C459" s="619"/>
      <c r="D459" s="59"/>
      <c r="E459" s="619" t="s">
        <v>193</v>
      </c>
      <c r="F459" s="619" t="s">
        <v>193</v>
      </c>
      <c r="G459" s="619"/>
      <c r="H459" s="588"/>
      <c r="P459" s="116">
        <f>SUM(P427:P458)</f>
        <v>220.08921199999997</v>
      </c>
      <c r="R459" s="116">
        <f>SUM(R427:R458)</f>
        <v>987.66596000000027</v>
      </c>
    </row>
    <row r="460" spans="1:18" x14ac:dyDescent="0.2">
      <c r="A460" s="617"/>
      <c r="B460" s="618"/>
      <c r="C460" s="619"/>
      <c r="D460" s="59"/>
      <c r="E460" s="619"/>
      <c r="F460" s="619" t="s">
        <v>193</v>
      </c>
      <c r="G460" s="619"/>
      <c r="H460" s="588"/>
    </row>
    <row r="461" spans="1:18" x14ac:dyDescent="0.2">
      <c r="A461" s="617"/>
      <c r="B461" s="618"/>
      <c r="C461" s="619"/>
      <c r="D461" s="59"/>
      <c r="E461" s="619"/>
      <c r="F461" s="619" t="s">
        <v>193</v>
      </c>
      <c r="G461" s="619"/>
      <c r="H461" s="588"/>
    </row>
    <row r="462" spans="1:18" x14ac:dyDescent="0.2">
      <c r="A462" s="617"/>
      <c r="B462" s="618"/>
      <c r="C462" s="618"/>
      <c r="D462" s="59"/>
      <c r="E462" s="618"/>
      <c r="F462" s="618"/>
      <c r="G462" s="618"/>
      <c r="H462" s="588"/>
    </row>
    <row r="463" spans="1:18" x14ac:dyDescent="0.2">
      <c r="A463" s="620" t="s">
        <v>14</v>
      </c>
      <c r="B463" s="621" t="s">
        <v>219</v>
      </c>
      <c r="C463" s="621"/>
      <c r="D463" s="59"/>
      <c r="E463" s="621" t="s">
        <v>195</v>
      </c>
      <c r="F463" s="621" t="s">
        <v>195</v>
      </c>
      <c r="G463" s="621"/>
      <c r="H463" s="588"/>
    </row>
    <row r="464" spans="1:18" ht="13.5" thickBot="1" x14ac:dyDescent="0.25">
      <c r="A464" s="622" t="s">
        <v>217</v>
      </c>
      <c r="B464" s="623" t="s">
        <v>12</v>
      </c>
      <c r="C464" s="623"/>
      <c r="D464" s="624"/>
      <c r="E464" s="623" t="s">
        <v>197</v>
      </c>
      <c r="F464" s="623" t="s">
        <v>197</v>
      </c>
      <c r="G464" s="623"/>
      <c r="H464" s="625"/>
    </row>
    <row r="465" spans="1:18" x14ac:dyDescent="0.2">
      <c r="A465" s="663"/>
      <c r="B465" s="664"/>
      <c r="C465" s="664"/>
      <c r="D465" s="664"/>
      <c r="E465" s="664"/>
      <c r="F465" s="664"/>
      <c r="G465" s="664"/>
      <c r="H465" s="665"/>
      <c r="P465" s="582">
        <f>P8+P52+P96+P141+P186+P231+P276+P326+P376+P426</f>
        <v>934</v>
      </c>
      <c r="Q465" s="499">
        <f>P465/10</f>
        <v>93.4</v>
      </c>
      <c r="R465" s="582">
        <f>R8+R52+R96+R141+R186+R231+R276+R326+R376+R426</f>
        <v>1015</v>
      </c>
    </row>
    <row r="466" spans="1:18" x14ac:dyDescent="0.2">
      <c r="A466" s="666"/>
      <c r="B466" s="667"/>
      <c r="C466" s="667"/>
      <c r="D466" s="667"/>
      <c r="E466" s="667"/>
      <c r="F466" s="667"/>
      <c r="G466" s="667"/>
      <c r="H466" s="668"/>
      <c r="P466" s="116">
        <f>P40+P84+P129+P174+P219+P264+P309+P359+P409+P459</f>
        <v>8883.4041960000013</v>
      </c>
      <c r="R466" s="116">
        <f>R40+R84+R129+R174+R219+R264+R309+R359+R409+R459</f>
        <v>9287.5338000000011</v>
      </c>
    </row>
    <row r="467" spans="1:18" x14ac:dyDescent="0.2">
      <c r="A467" s="666"/>
      <c r="B467" s="667"/>
      <c r="C467" s="667"/>
      <c r="D467" s="667"/>
      <c r="E467" s="667"/>
      <c r="F467" s="667"/>
      <c r="G467" s="667"/>
      <c r="H467" s="668"/>
    </row>
    <row r="468" spans="1:18" x14ac:dyDescent="0.2">
      <c r="A468" s="669" t="s">
        <v>60</v>
      </c>
      <c r="B468" s="667"/>
      <c r="C468" s="667"/>
      <c r="D468" s="667"/>
      <c r="E468" s="667"/>
      <c r="F468" s="667"/>
      <c r="G468" s="667"/>
      <c r="H468" s="668"/>
    </row>
    <row r="469" spans="1:18" x14ac:dyDescent="0.2">
      <c r="A469" s="670" t="s">
        <v>240</v>
      </c>
      <c r="B469" s="667"/>
      <c r="C469" s="667"/>
      <c r="D469" s="667"/>
      <c r="E469" s="667"/>
      <c r="F469" s="667"/>
      <c r="G469" s="667"/>
      <c r="H469" s="668"/>
    </row>
    <row r="470" spans="1:18" x14ac:dyDescent="0.2">
      <c r="A470" s="670"/>
      <c r="B470" s="667"/>
      <c r="C470" s="667"/>
      <c r="D470" s="667"/>
      <c r="E470" s="667"/>
      <c r="F470" s="667"/>
      <c r="G470" s="667"/>
      <c r="H470" s="668"/>
      <c r="P470" s="583"/>
    </row>
    <row r="471" spans="1:18" x14ac:dyDescent="0.2">
      <c r="A471" s="1041"/>
      <c r="B471" s="1042"/>
      <c r="C471" s="643" t="s">
        <v>6</v>
      </c>
      <c r="D471" s="1043" t="s">
        <v>47</v>
      </c>
      <c r="E471" s="1044"/>
      <c r="F471" s="1045"/>
      <c r="G471" s="1043" t="s">
        <v>13</v>
      </c>
      <c r="H471" s="1046"/>
      <c r="P471" s="583"/>
    </row>
    <row r="472" spans="1:18" x14ac:dyDescent="0.2">
      <c r="A472" s="669" t="s">
        <v>149</v>
      </c>
      <c r="B472" s="667"/>
      <c r="C472" s="671"/>
      <c r="D472" s="671"/>
      <c r="E472" s="671"/>
      <c r="F472" s="671"/>
      <c r="G472" s="671"/>
      <c r="H472" s="672"/>
      <c r="P472" s="583"/>
    </row>
    <row r="473" spans="1:18" x14ac:dyDescent="0.2">
      <c r="A473" s="666" t="s">
        <v>150</v>
      </c>
      <c r="B473" s="667" t="s">
        <v>135</v>
      </c>
      <c r="C473" s="673" t="e">
        <f>#REF!</f>
        <v>#REF!</v>
      </c>
      <c r="D473" s="673"/>
      <c r="E473" s="673" t="e">
        <f>C473</f>
        <v>#REF!</v>
      </c>
      <c r="F473" s="673"/>
      <c r="G473" s="673" t="e">
        <f>C473</f>
        <v>#REF!</v>
      </c>
      <c r="H473" s="674"/>
      <c r="P473" s="583"/>
    </row>
    <row r="474" spans="1:18" x14ac:dyDescent="0.2">
      <c r="A474" s="666"/>
      <c r="B474" s="667"/>
      <c r="C474" s="675"/>
      <c r="D474" s="675"/>
      <c r="E474" s="675"/>
      <c r="F474" s="675"/>
      <c r="G474" s="675"/>
      <c r="H474" s="676"/>
      <c r="P474" s="583"/>
    </row>
    <row r="475" spans="1:18" x14ac:dyDescent="0.2">
      <c r="A475" s="669" t="s">
        <v>156</v>
      </c>
      <c r="B475" s="667"/>
      <c r="C475" s="673"/>
      <c r="D475" s="673"/>
      <c r="E475" s="673"/>
      <c r="F475" s="673"/>
      <c r="G475" s="673"/>
      <c r="H475" s="668"/>
      <c r="P475" s="583"/>
    </row>
    <row r="476" spans="1:18" x14ac:dyDescent="0.2">
      <c r="A476" s="666" t="s">
        <v>157</v>
      </c>
      <c r="B476" s="667" t="s">
        <v>158</v>
      </c>
      <c r="C476" s="673"/>
      <c r="D476" s="673"/>
      <c r="E476" s="673"/>
      <c r="F476" s="673"/>
      <c r="G476" s="673" t="e">
        <f>#REF!</f>
        <v>#REF!</v>
      </c>
      <c r="H476" s="674"/>
      <c r="P476" s="583"/>
    </row>
    <row r="477" spans="1:18" x14ac:dyDescent="0.2">
      <c r="A477" s="666" t="s">
        <v>159</v>
      </c>
      <c r="B477" s="667" t="s">
        <v>135</v>
      </c>
      <c r="C477" s="673" t="e">
        <f>#REF!</f>
        <v>#REF!</v>
      </c>
      <c r="D477" s="673"/>
      <c r="E477" s="673" t="e">
        <f>#REF!</f>
        <v>#REF!</v>
      </c>
      <c r="F477" s="673"/>
      <c r="G477" s="673"/>
      <c r="H477" s="674"/>
      <c r="P477" s="583"/>
    </row>
    <row r="478" spans="1:18" x14ac:dyDescent="0.2">
      <c r="A478" s="669" t="s">
        <v>160</v>
      </c>
      <c r="B478" s="667" t="s">
        <v>135</v>
      </c>
      <c r="C478" s="673" t="e">
        <f>#REF!</f>
        <v>#REF!</v>
      </c>
      <c r="D478" s="673"/>
      <c r="E478" s="673" t="e">
        <f>C478</f>
        <v>#REF!</v>
      </c>
      <c r="F478" s="673"/>
      <c r="G478" s="673" t="e">
        <f>C478</f>
        <v>#REF!</v>
      </c>
      <c r="H478" s="674"/>
      <c r="P478" s="583"/>
    </row>
    <row r="479" spans="1:18" x14ac:dyDescent="0.2">
      <c r="A479" s="666"/>
      <c r="B479" s="667"/>
      <c r="C479" s="673"/>
      <c r="D479" s="673"/>
      <c r="E479" s="673"/>
      <c r="F479" s="673"/>
      <c r="G479" s="673"/>
      <c r="H479" s="674"/>
      <c r="P479" s="583"/>
    </row>
    <row r="480" spans="1:18" x14ac:dyDescent="0.2">
      <c r="A480" s="669" t="s">
        <v>161</v>
      </c>
      <c r="B480" s="667"/>
      <c r="C480" s="673"/>
      <c r="D480" s="673"/>
      <c r="E480" s="673"/>
      <c r="F480" s="673"/>
      <c r="G480" s="673"/>
      <c r="H480" s="674"/>
      <c r="P480" s="583"/>
    </row>
    <row r="481" spans="1:8" x14ac:dyDescent="0.2">
      <c r="A481" s="666" t="s">
        <v>162</v>
      </c>
      <c r="B481" s="667" t="s">
        <v>158</v>
      </c>
      <c r="C481" s="673"/>
      <c r="D481" s="673"/>
      <c r="E481" s="673"/>
      <c r="F481" s="673"/>
      <c r="G481" s="677">
        <v>267.89999999999998</v>
      </c>
      <c r="H481" s="674"/>
    </row>
    <row r="482" spans="1:8" x14ac:dyDescent="0.2">
      <c r="A482" s="666" t="s">
        <v>163</v>
      </c>
      <c r="B482" s="667" t="s">
        <v>135</v>
      </c>
      <c r="C482" s="673">
        <v>0.84489999999999998</v>
      </c>
      <c r="D482" s="678"/>
      <c r="E482" s="679">
        <v>0.92589999999999995</v>
      </c>
      <c r="F482" s="673"/>
      <c r="G482" s="673"/>
      <c r="H482" s="674"/>
    </row>
    <row r="483" spans="1:8" x14ac:dyDescent="0.2">
      <c r="A483" s="669" t="s">
        <v>164</v>
      </c>
      <c r="B483" s="667"/>
      <c r="C483" s="673"/>
      <c r="D483" s="678"/>
      <c r="E483" s="673"/>
      <c r="F483" s="673"/>
      <c r="G483" s="673"/>
      <c r="H483" s="674"/>
    </row>
    <row r="484" spans="1:8" x14ac:dyDescent="0.2">
      <c r="A484" s="666" t="s">
        <v>165</v>
      </c>
      <c r="B484" s="667" t="s">
        <v>166</v>
      </c>
      <c r="C484" s="673"/>
      <c r="D484" s="678"/>
      <c r="E484" s="680">
        <v>40.15</v>
      </c>
      <c r="F484" s="677"/>
      <c r="G484" s="680">
        <v>40.15</v>
      </c>
      <c r="H484" s="674"/>
    </row>
    <row r="485" spans="1:8" x14ac:dyDescent="0.2">
      <c r="A485" s="666" t="s">
        <v>167</v>
      </c>
      <c r="B485" s="667" t="s">
        <v>135</v>
      </c>
      <c r="C485" s="673">
        <v>0.7732</v>
      </c>
      <c r="D485" s="678"/>
      <c r="E485" s="677"/>
      <c r="F485" s="677"/>
      <c r="G485" s="677"/>
      <c r="H485" s="674"/>
    </row>
    <row r="486" spans="1:8" x14ac:dyDescent="0.2">
      <c r="A486" s="669" t="s">
        <v>168</v>
      </c>
      <c r="B486" s="667"/>
      <c r="C486" s="667"/>
      <c r="D486" s="678"/>
      <c r="E486" s="677"/>
      <c r="F486" s="677"/>
      <c r="G486" s="677"/>
      <c r="H486" s="674"/>
    </row>
    <row r="487" spans="1:8" x14ac:dyDescent="0.2">
      <c r="A487" s="666" t="s">
        <v>221</v>
      </c>
      <c r="B487" s="667" t="s">
        <v>170</v>
      </c>
      <c r="C487" s="673">
        <v>5</v>
      </c>
      <c r="D487" s="678"/>
      <c r="E487" s="680">
        <v>28.72</v>
      </c>
      <c r="F487" s="677"/>
      <c r="G487" s="680">
        <v>28.72</v>
      </c>
      <c r="H487" s="674"/>
    </row>
    <row r="488" spans="1:8" x14ac:dyDescent="0.2">
      <c r="A488" s="666" t="s">
        <v>171</v>
      </c>
      <c r="B488" s="667" t="s">
        <v>135</v>
      </c>
      <c r="C488" s="673">
        <v>0.45689999999999997</v>
      </c>
      <c r="D488" s="673"/>
      <c r="E488" s="673"/>
      <c r="F488" s="673"/>
      <c r="G488" s="673"/>
      <c r="H488" s="674"/>
    </row>
    <row r="489" spans="1:8" x14ac:dyDescent="0.2">
      <c r="A489" s="669" t="s">
        <v>172</v>
      </c>
      <c r="B489" s="667" t="s">
        <v>135</v>
      </c>
      <c r="C489" s="673" t="e">
        <f>#REF!</f>
        <v>#REF!</v>
      </c>
      <c r="D489" s="678"/>
      <c r="E489" s="679" t="e">
        <f>C489</f>
        <v>#REF!</v>
      </c>
      <c r="F489" s="679"/>
      <c r="G489" s="679" t="e">
        <f>C489</f>
        <v>#REF!</v>
      </c>
      <c r="H489" s="674"/>
    </row>
    <row r="490" spans="1:8" x14ac:dyDescent="0.2">
      <c r="A490" s="669" t="s">
        <v>173</v>
      </c>
      <c r="B490" s="667"/>
      <c r="C490" s="673" t="e">
        <f>#REF!</f>
        <v>#REF!</v>
      </c>
      <c r="D490" s="678"/>
      <c r="E490" s="679" t="e">
        <f>C490</f>
        <v>#REF!</v>
      </c>
      <c r="F490" s="679"/>
      <c r="G490" s="679" t="e">
        <f>C490</f>
        <v>#REF!</v>
      </c>
      <c r="H490" s="674"/>
    </row>
    <row r="491" spans="1:8" x14ac:dyDescent="0.2">
      <c r="A491" s="669" t="s">
        <v>242</v>
      </c>
      <c r="B491" s="667"/>
      <c r="C491" s="673"/>
      <c r="D491" s="678"/>
      <c r="E491" s="679"/>
      <c r="F491" s="679"/>
      <c r="G491" s="679"/>
      <c r="H491" s="674"/>
    </row>
    <row r="492" spans="1:8" x14ac:dyDescent="0.2">
      <c r="A492" s="666" t="s">
        <v>243</v>
      </c>
      <c r="B492" s="667" t="s">
        <v>135</v>
      </c>
      <c r="C492" s="673">
        <v>0.49249999999999999</v>
      </c>
      <c r="D492" s="673"/>
      <c r="E492" s="673">
        <f>C492</f>
        <v>0.49249999999999999</v>
      </c>
      <c r="F492" s="673"/>
      <c r="G492" s="673">
        <f>C492</f>
        <v>0.49249999999999999</v>
      </c>
      <c r="H492" s="674"/>
    </row>
    <row r="493" spans="1:8" x14ac:dyDescent="0.2">
      <c r="A493" s="666" t="s">
        <v>244</v>
      </c>
      <c r="B493" s="667" t="s">
        <v>135</v>
      </c>
      <c r="C493" s="673">
        <v>0.49299999999999999</v>
      </c>
      <c r="D493" s="678"/>
      <c r="E493" s="673">
        <f>C493</f>
        <v>0.49299999999999999</v>
      </c>
      <c r="F493" s="679"/>
      <c r="G493" s="673">
        <f>C493</f>
        <v>0.49299999999999999</v>
      </c>
      <c r="H493" s="674"/>
    </row>
    <row r="494" spans="1:8" x14ac:dyDescent="0.2">
      <c r="A494" s="669" t="s">
        <v>174</v>
      </c>
      <c r="B494" s="667"/>
      <c r="C494" s="673"/>
      <c r="D494" s="673"/>
      <c r="E494" s="673"/>
      <c r="F494" s="673"/>
      <c r="G494" s="673"/>
      <c r="H494" s="674"/>
    </row>
    <row r="495" spans="1:8" x14ac:dyDescent="0.2">
      <c r="A495" s="666" t="s">
        <v>175</v>
      </c>
      <c r="B495" s="667" t="s">
        <v>135</v>
      </c>
      <c r="C495" s="673">
        <f>0.1163</f>
        <v>0.1163</v>
      </c>
      <c r="D495" s="673"/>
      <c r="E495" s="673">
        <f>C495</f>
        <v>0.1163</v>
      </c>
      <c r="F495" s="673"/>
      <c r="G495" s="673">
        <f>C495</f>
        <v>0.1163</v>
      </c>
      <c r="H495" s="681"/>
    </row>
    <row r="496" spans="1:8" x14ac:dyDescent="0.2">
      <c r="A496" s="666" t="s">
        <v>176</v>
      </c>
      <c r="B496" s="667" t="s">
        <v>135</v>
      </c>
      <c r="C496" s="673">
        <v>2.5000000000000001E-3</v>
      </c>
      <c r="D496" s="673"/>
      <c r="E496" s="673">
        <v>2.5000000000000001E-3</v>
      </c>
      <c r="F496" s="673"/>
      <c r="G496" s="679">
        <f>C496</f>
        <v>2.5000000000000001E-3</v>
      </c>
      <c r="H496" s="674"/>
    </row>
    <row r="497" spans="1:11" x14ac:dyDescent="0.2">
      <c r="A497" s="666" t="s">
        <v>200</v>
      </c>
      <c r="B497" s="667" t="s">
        <v>135</v>
      </c>
      <c r="C497" s="673">
        <f>0.1938</f>
        <v>0.1938</v>
      </c>
      <c r="D497" s="673"/>
      <c r="E497" s="673">
        <f>C497</f>
        <v>0.1938</v>
      </c>
      <c r="F497" s="673"/>
      <c r="G497" s="679">
        <f>C497</f>
        <v>0.1938</v>
      </c>
      <c r="H497" s="681"/>
    </row>
    <row r="498" spans="1:11" x14ac:dyDescent="0.2">
      <c r="A498" s="682" t="s">
        <v>182</v>
      </c>
      <c r="B498" s="667"/>
      <c r="C498" s="673"/>
      <c r="D498" s="673"/>
      <c r="E498" s="673"/>
      <c r="F498" s="673"/>
      <c r="G498" s="679"/>
      <c r="H498" s="681"/>
    </row>
    <row r="499" spans="1:11" x14ac:dyDescent="0.2">
      <c r="A499" s="666" t="s">
        <v>211</v>
      </c>
      <c r="B499" s="667" t="s">
        <v>135</v>
      </c>
      <c r="C499" s="673" t="e">
        <f>#REF!</f>
        <v>#REF!</v>
      </c>
      <c r="D499" s="673"/>
      <c r="E499" s="673" t="e">
        <f>C499</f>
        <v>#REF!</v>
      </c>
      <c r="F499" s="673"/>
      <c r="G499" s="679" t="e">
        <f>C499</f>
        <v>#REF!</v>
      </c>
      <c r="H499" s="681"/>
    </row>
    <row r="500" spans="1:11" x14ac:dyDescent="0.2">
      <c r="A500" s="666" t="s">
        <v>212</v>
      </c>
      <c r="B500" s="667" t="s">
        <v>135</v>
      </c>
      <c r="C500" s="673" t="e">
        <f>#REF!</f>
        <v>#REF!</v>
      </c>
      <c r="D500" s="673"/>
      <c r="E500" s="673" t="e">
        <f>C500</f>
        <v>#REF!</v>
      </c>
      <c r="F500" s="673"/>
      <c r="G500" s="679" t="e">
        <f>C500</f>
        <v>#REF!</v>
      </c>
      <c r="H500" s="681"/>
    </row>
    <row r="501" spans="1:11" x14ac:dyDescent="0.2">
      <c r="A501" s="666" t="s">
        <v>213</v>
      </c>
      <c r="B501" s="667" t="s">
        <v>135</v>
      </c>
      <c r="C501" s="673" t="e">
        <f>#REF!</f>
        <v>#REF!</v>
      </c>
      <c r="D501" s="673"/>
      <c r="E501" s="673" t="e">
        <f>C501</f>
        <v>#REF!</v>
      </c>
      <c r="F501" s="673"/>
      <c r="G501" s="679" t="e">
        <f>C501</f>
        <v>#REF!</v>
      </c>
      <c r="H501" s="681"/>
    </row>
    <row r="502" spans="1:11" x14ac:dyDescent="0.2">
      <c r="A502" s="666" t="s">
        <v>214</v>
      </c>
      <c r="B502" s="667" t="s">
        <v>215</v>
      </c>
      <c r="C502" s="683">
        <v>0.12</v>
      </c>
      <c r="D502" s="673"/>
      <c r="E502" s="683">
        <v>0.12</v>
      </c>
      <c r="F502" s="673"/>
      <c r="G502" s="683">
        <v>0.12</v>
      </c>
      <c r="H502" s="681"/>
    </row>
    <row r="503" spans="1:11" x14ac:dyDescent="0.2">
      <c r="A503" s="684" t="s">
        <v>177</v>
      </c>
      <c r="B503" s="685" t="s">
        <v>135</v>
      </c>
      <c r="C503" s="686">
        <v>0.40039999999999998</v>
      </c>
      <c r="D503" s="686"/>
      <c r="E503" s="686">
        <v>0.40039999999999998</v>
      </c>
      <c r="F503" s="686"/>
      <c r="G503" s="687">
        <f>C503</f>
        <v>0.40039999999999998</v>
      </c>
      <c r="H503" s="688"/>
    </row>
    <row r="504" spans="1:11" ht="13.5" thickBot="1" x14ac:dyDescent="0.25">
      <c r="A504" s="689" t="s">
        <v>247</v>
      </c>
      <c r="B504" s="690"/>
      <c r="C504" s="691">
        <f>5.1313+0.7774+0.7448+0.8449+0.7732+0.4569+0.0979+0.0014+0.493+0.1163+0.0025+0.1938+0.163+0.0025+0.0208+0.4004</f>
        <v>10.220099999999997</v>
      </c>
      <c r="D504" s="692"/>
      <c r="E504" s="691">
        <f>5.1313+0.7774+0.7448+0.9259+0.0979+0.0014+0.493+0.1163+0.0025+0.1938+0.163+0.0025+0.0208+0.4004</f>
        <v>9.070999999999998</v>
      </c>
      <c r="F504" s="692"/>
      <c r="G504" s="691">
        <f>5.1313+0.7448+0.0979+0.0014+0.493+0.1163+0.0025+0.1938+0.163+0.0025+0.0208+0.4004</f>
        <v>7.3677000000000028</v>
      </c>
      <c r="H504" s="693"/>
    </row>
    <row r="505" spans="1:11" ht="14.25" thickTop="1" thickBot="1" x14ac:dyDescent="0.25">
      <c r="A505" s="689" t="s">
        <v>179</v>
      </c>
      <c r="B505" s="690" t="s">
        <v>166</v>
      </c>
      <c r="C505" s="694">
        <f>C487</f>
        <v>5</v>
      </c>
      <c r="D505" s="694"/>
      <c r="E505" s="694">
        <f>E484+E487</f>
        <v>68.87</v>
      </c>
      <c r="F505" s="694"/>
      <c r="G505" s="694">
        <f>G484+G487</f>
        <v>68.87</v>
      </c>
      <c r="H505" s="693"/>
    </row>
    <row r="506" spans="1:11" ht="14.25" thickTop="1" thickBot="1" x14ac:dyDescent="0.25">
      <c r="A506" s="689" t="s">
        <v>216</v>
      </c>
      <c r="B506" s="695" t="s">
        <v>158</v>
      </c>
      <c r="C506" s="691"/>
      <c r="D506" s="691"/>
      <c r="E506" s="691"/>
      <c r="F506" s="691"/>
      <c r="G506" s="694">
        <f>G481</f>
        <v>267.89999999999998</v>
      </c>
      <c r="H506" s="693"/>
    </row>
    <row r="507" spans="1:11" ht="13.5" thickTop="1" x14ac:dyDescent="0.2">
      <c r="A507" s="666"/>
      <c r="B507" s="667"/>
      <c r="C507" s="701"/>
      <c r="D507" s="667"/>
      <c r="E507" s="701"/>
      <c r="F507" s="667"/>
      <c r="G507" s="701"/>
      <c r="H507" s="668"/>
      <c r="I507" s="64">
        <f>ROUND(C504,4)</f>
        <v>10.2201</v>
      </c>
      <c r="J507" s="64">
        <f>ROUND(E504,4)</f>
        <v>9.0709999999999997</v>
      </c>
      <c r="K507" s="64">
        <f>ROUND(G504,4)</f>
        <v>7.3677000000000001</v>
      </c>
    </row>
    <row r="508" spans="1:11" x14ac:dyDescent="0.2">
      <c r="A508" s="702" t="s">
        <v>5</v>
      </c>
      <c r="B508" s="703" t="s">
        <v>218</v>
      </c>
      <c r="C508" s="704"/>
      <c r="D508" s="667"/>
      <c r="E508" s="704" t="s">
        <v>193</v>
      </c>
      <c r="F508" s="704" t="s">
        <v>193</v>
      </c>
      <c r="G508" s="704"/>
      <c r="H508" s="668"/>
    </row>
    <row r="509" spans="1:11" x14ac:dyDescent="0.2">
      <c r="A509" s="702"/>
      <c r="B509" s="703"/>
      <c r="C509" s="704"/>
      <c r="D509" s="667"/>
      <c r="E509" s="704"/>
      <c r="F509" s="704" t="s">
        <v>193</v>
      </c>
      <c r="G509" s="704"/>
      <c r="H509" s="668"/>
    </row>
    <row r="510" spans="1:11" x14ac:dyDescent="0.2">
      <c r="A510" s="702"/>
      <c r="B510" s="703"/>
      <c r="C510" s="704"/>
      <c r="D510" s="667"/>
      <c r="E510" s="704"/>
      <c r="F510" s="704" t="s">
        <v>193</v>
      </c>
      <c r="G510" s="704"/>
      <c r="H510" s="668"/>
    </row>
    <row r="511" spans="1:11" x14ac:dyDescent="0.2">
      <c r="A511" s="702"/>
      <c r="B511" s="703"/>
      <c r="C511" s="703"/>
      <c r="D511" s="667"/>
      <c r="E511" s="703"/>
      <c r="F511" s="703"/>
      <c r="G511" s="703"/>
      <c r="H511" s="668"/>
    </row>
    <row r="512" spans="1:11" x14ac:dyDescent="0.2">
      <c r="A512" s="705" t="s">
        <v>14</v>
      </c>
      <c r="B512" s="706" t="s">
        <v>219</v>
      </c>
      <c r="C512" s="706"/>
      <c r="D512" s="667"/>
      <c r="E512" s="706" t="s">
        <v>195</v>
      </c>
      <c r="F512" s="706" t="s">
        <v>195</v>
      </c>
      <c r="G512" s="706"/>
      <c r="H512" s="668"/>
    </row>
    <row r="513" spans="1:8" ht="13.5" thickBot="1" x14ac:dyDescent="0.25">
      <c r="A513" s="707" t="s">
        <v>217</v>
      </c>
      <c r="B513" s="708" t="s">
        <v>12</v>
      </c>
      <c r="C513" s="708"/>
      <c r="D513" s="709"/>
      <c r="E513" s="708" t="s">
        <v>197</v>
      </c>
      <c r="F513" s="708" t="s">
        <v>197</v>
      </c>
      <c r="G513" s="708"/>
      <c r="H513" s="710"/>
    </row>
    <row r="514" spans="1:8" x14ac:dyDescent="0.2">
      <c r="A514" s="313"/>
      <c r="B514" s="314"/>
      <c r="C514" s="314"/>
      <c r="D514" s="314"/>
      <c r="E514" s="314"/>
      <c r="F514" s="314"/>
      <c r="G514" s="314"/>
      <c r="H514" s="315"/>
    </row>
    <row r="515" spans="1:8" x14ac:dyDescent="0.2">
      <c r="A515" s="316"/>
      <c r="H515" s="317"/>
    </row>
    <row r="516" spans="1:8" x14ac:dyDescent="0.2">
      <c r="A516" s="316"/>
      <c r="H516" s="317"/>
    </row>
    <row r="517" spans="1:8" x14ac:dyDescent="0.2">
      <c r="A517" s="318" t="s">
        <v>60</v>
      </c>
      <c r="H517" s="317"/>
    </row>
    <row r="518" spans="1:8" x14ac:dyDescent="0.2">
      <c r="A518" s="319" t="s">
        <v>264</v>
      </c>
      <c r="H518" s="317"/>
    </row>
    <row r="519" spans="1:8" x14ac:dyDescent="0.2">
      <c r="A519" s="319"/>
      <c r="H519" s="317"/>
    </row>
    <row r="520" spans="1:8" x14ac:dyDescent="0.2">
      <c r="A520" s="1035"/>
      <c r="B520" s="1036"/>
      <c r="C520" s="320" t="s">
        <v>6</v>
      </c>
      <c r="D520" s="1037" t="s">
        <v>47</v>
      </c>
      <c r="E520" s="1038"/>
      <c r="F520" s="1039"/>
      <c r="G520" s="1037" t="s">
        <v>13</v>
      </c>
      <c r="H520" s="1040"/>
    </row>
    <row r="521" spans="1:8" x14ac:dyDescent="0.2">
      <c r="A521" s="318" t="s">
        <v>149</v>
      </c>
      <c r="C521" s="68"/>
      <c r="D521" s="68"/>
      <c r="E521" s="68"/>
      <c r="F521" s="68"/>
      <c r="G521" s="68"/>
      <c r="H521" s="321"/>
    </row>
    <row r="522" spans="1:8" x14ac:dyDescent="0.2">
      <c r="A522" s="316" t="s">
        <v>150</v>
      </c>
      <c r="B522" s="30" t="s">
        <v>135</v>
      </c>
      <c r="C522" s="64" t="e">
        <f>Jan!#REF!</f>
        <v>#REF!</v>
      </c>
      <c r="D522" s="64"/>
      <c r="E522" s="64" t="e">
        <f>C522</f>
        <v>#REF!</v>
      </c>
      <c r="F522" s="64"/>
      <c r="G522" s="64" t="e">
        <f>C522</f>
        <v>#REF!</v>
      </c>
      <c r="H522" s="322"/>
    </row>
    <row r="523" spans="1:8" x14ac:dyDescent="0.2">
      <c r="A523" s="316"/>
      <c r="C523" s="550"/>
      <c r="D523" s="550"/>
      <c r="E523" s="550"/>
      <c r="F523" s="550"/>
      <c r="G523" s="550"/>
      <c r="H523" s="551"/>
    </row>
    <row r="524" spans="1:8" x14ac:dyDescent="0.2">
      <c r="A524" s="318" t="s">
        <v>156</v>
      </c>
      <c r="C524" s="64"/>
      <c r="D524" s="64"/>
      <c r="E524" s="64"/>
      <c r="F524" s="64"/>
      <c r="G524" s="64"/>
      <c r="H524" s="317"/>
    </row>
    <row r="525" spans="1:8" x14ac:dyDescent="0.2">
      <c r="A525" s="316" t="s">
        <v>157</v>
      </c>
      <c r="B525" s="30" t="s">
        <v>158</v>
      </c>
      <c r="C525" s="64"/>
      <c r="D525" s="64"/>
      <c r="E525" s="64"/>
      <c r="F525" s="64"/>
      <c r="G525" s="64" t="e">
        <f>Jan!#REF!</f>
        <v>#REF!</v>
      </c>
      <c r="H525" s="594"/>
    </row>
    <row r="526" spans="1:8" x14ac:dyDescent="0.2">
      <c r="A526" s="316" t="s">
        <v>159</v>
      </c>
      <c r="B526" s="30" t="s">
        <v>135</v>
      </c>
      <c r="C526" s="64" t="e">
        <f>Jan!#REF!</f>
        <v>#REF!</v>
      </c>
      <c r="D526" s="64"/>
      <c r="E526" s="64" t="e">
        <f>Jan!#REF!</f>
        <v>#REF!</v>
      </c>
      <c r="F526" s="64"/>
      <c r="G526" s="64"/>
      <c r="H526" s="594"/>
    </row>
    <row r="527" spans="1:8" x14ac:dyDescent="0.2">
      <c r="A527" s="318" t="s">
        <v>160</v>
      </c>
      <c r="B527" s="30" t="s">
        <v>135</v>
      </c>
      <c r="C527" s="64" t="e">
        <f>Jan!#REF!</f>
        <v>#REF!</v>
      </c>
      <c r="D527" s="64"/>
      <c r="E527" s="64" t="e">
        <f>C527</f>
        <v>#REF!</v>
      </c>
      <c r="F527" s="64"/>
      <c r="G527" s="64" t="e">
        <f>C527</f>
        <v>#REF!</v>
      </c>
      <c r="H527" s="322"/>
    </row>
    <row r="528" spans="1:8" x14ac:dyDescent="0.2">
      <c r="A528" s="316"/>
      <c r="C528" s="64"/>
      <c r="D528" s="64"/>
      <c r="E528" s="64"/>
      <c r="F528" s="64"/>
      <c r="G528" s="64"/>
      <c r="H528" s="322"/>
    </row>
    <row r="529" spans="1:10" x14ac:dyDescent="0.2">
      <c r="A529" s="318" t="s">
        <v>161</v>
      </c>
      <c r="C529" s="64"/>
      <c r="D529" s="64"/>
      <c r="E529" s="64"/>
      <c r="F529" s="64"/>
      <c r="G529" s="64"/>
      <c r="H529" s="322"/>
    </row>
    <row r="530" spans="1:10" x14ac:dyDescent="0.2">
      <c r="A530" s="316" t="s">
        <v>162</v>
      </c>
      <c r="B530" s="30" t="s">
        <v>158</v>
      </c>
      <c r="C530" s="64"/>
      <c r="D530" s="64"/>
      <c r="E530" s="64"/>
      <c r="F530" s="64"/>
      <c r="G530" s="101">
        <v>267.89999999999998</v>
      </c>
      <c r="H530" s="322"/>
    </row>
    <row r="531" spans="1:10" x14ac:dyDescent="0.2">
      <c r="A531" s="316" t="s">
        <v>163</v>
      </c>
      <c r="B531" s="30" t="s">
        <v>135</v>
      </c>
      <c r="C531" s="64" t="e">
        <f>Jan!#REF!</f>
        <v>#REF!</v>
      </c>
      <c r="D531" s="323"/>
      <c r="E531" s="378">
        <v>0.92589999999999995</v>
      </c>
      <c r="F531" s="64"/>
      <c r="G531" s="64"/>
      <c r="H531" s="322"/>
    </row>
    <row r="532" spans="1:10" x14ac:dyDescent="0.2">
      <c r="A532" s="318" t="s">
        <v>164</v>
      </c>
      <c r="C532" s="64"/>
      <c r="D532" s="323"/>
      <c r="E532" s="64"/>
      <c r="F532" s="64"/>
      <c r="G532" s="64"/>
      <c r="H532" s="322"/>
    </row>
    <row r="533" spans="1:10" x14ac:dyDescent="0.2">
      <c r="A533" s="316" t="s">
        <v>165</v>
      </c>
      <c r="B533" s="30" t="s">
        <v>166</v>
      </c>
      <c r="C533" s="64"/>
      <c r="D533" s="323"/>
      <c r="E533" s="377">
        <v>40.15</v>
      </c>
      <c r="F533" s="101"/>
      <c r="G533" s="377">
        <v>40.15</v>
      </c>
      <c r="H533" s="322"/>
    </row>
    <row r="534" spans="1:10" x14ac:dyDescent="0.2">
      <c r="A534" s="316" t="s">
        <v>167</v>
      </c>
      <c r="B534" s="30" t="s">
        <v>135</v>
      </c>
      <c r="C534" s="64" t="e">
        <f>Jan!#REF!</f>
        <v>#REF!</v>
      </c>
      <c r="D534" s="323"/>
      <c r="E534" s="101"/>
      <c r="F534" s="101"/>
      <c r="G534" s="101"/>
      <c r="H534" s="322"/>
    </row>
    <row r="535" spans="1:10" x14ac:dyDescent="0.2">
      <c r="A535" s="318" t="s">
        <v>168</v>
      </c>
      <c r="D535" s="323"/>
      <c r="E535" s="101"/>
      <c r="F535" s="101"/>
      <c r="G535" s="101"/>
      <c r="H535" s="322"/>
    </row>
    <row r="536" spans="1:10" x14ac:dyDescent="0.2">
      <c r="A536" s="316" t="s">
        <v>221</v>
      </c>
      <c r="B536" s="30" t="s">
        <v>170</v>
      </c>
      <c r="C536" s="64" t="e">
        <f>Jan!#REF!</f>
        <v>#REF!</v>
      </c>
      <c r="D536" s="377"/>
      <c r="E536" s="64" t="e">
        <f>Jan!#REF!</f>
        <v>#REF!</v>
      </c>
      <c r="F536" s="64"/>
      <c r="G536" s="64" t="e">
        <f>Jan!#REF!</f>
        <v>#REF!</v>
      </c>
      <c r="H536" s="322"/>
    </row>
    <row r="537" spans="1:10" x14ac:dyDescent="0.2">
      <c r="A537" s="316" t="s">
        <v>171</v>
      </c>
      <c r="B537" s="30" t="s">
        <v>135</v>
      </c>
      <c r="C537" s="64" t="e">
        <f>Jan!#REF!</f>
        <v>#REF!</v>
      </c>
      <c r="D537" s="64"/>
      <c r="E537" s="64"/>
      <c r="F537" s="64"/>
      <c r="G537" s="64"/>
      <c r="H537" s="322"/>
    </row>
    <row r="538" spans="1:10" x14ac:dyDescent="0.2">
      <c r="A538" s="716" t="s">
        <v>268</v>
      </c>
      <c r="B538" s="30" t="s">
        <v>135</v>
      </c>
      <c r="C538" s="64" t="e">
        <f>Jan!#REF!</f>
        <v>#REF!</v>
      </c>
      <c r="D538" s="323"/>
      <c r="E538" s="64" t="e">
        <f>C538</f>
        <v>#REF!</v>
      </c>
      <c r="F538" s="378"/>
      <c r="G538" s="64" t="e">
        <f>C538</f>
        <v>#REF!</v>
      </c>
      <c r="H538" s="594"/>
      <c r="J538" s="30" t="s">
        <v>266</v>
      </c>
    </row>
    <row r="539" spans="1:10" x14ac:dyDescent="0.2">
      <c r="A539" s="718" t="s">
        <v>269</v>
      </c>
      <c r="B539" s="30" t="s">
        <v>135</v>
      </c>
      <c r="C539" s="64" t="e">
        <f>Jan!#REF!</f>
        <v>#REF!</v>
      </c>
      <c r="D539" s="323"/>
      <c r="E539" s="64" t="e">
        <f>C539</f>
        <v>#REF!</v>
      </c>
      <c r="F539" s="378"/>
      <c r="G539" s="64" t="e">
        <f>C539</f>
        <v>#REF!</v>
      </c>
      <c r="H539" s="594"/>
    </row>
    <row r="540" spans="1:10" hidden="1" x14ac:dyDescent="0.2">
      <c r="A540" s="318" t="s">
        <v>242</v>
      </c>
      <c r="C540" s="64"/>
      <c r="D540" s="323"/>
      <c r="E540" s="378"/>
      <c r="F540" s="378"/>
      <c r="G540" s="378"/>
      <c r="H540" s="322"/>
    </row>
    <row r="541" spans="1:10" hidden="1" x14ac:dyDescent="0.2">
      <c r="A541" s="316" t="s">
        <v>243</v>
      </c>
      <c r="B541" s="30" t="s">
        <v>135</v>
      </c>
      <c r="C541" s="711" t="e">
        <f>Jan!#REF!</f>
        <v>#REF!</v>
      </c>
      <c r="D541" s="711"/>
      <c r="E541" s="711" t="e">
        <f>C541</f>
        <v>#REF!</v>
      </c>
      <c r="F541" s="711"/>
      <c r="G541" s="711" t="e">
        <f>C541</f>
        <v>#REF!</v>
      </c>
      <c r="H541" s="322"/>
    </row>
    <row r="542" spans="1:10" hidden="1" x14ac:dyDescent="0.2">
      <c r="A542" s="316" t="s">
        <v>244</v>
      </c>
      <c r="B542" s="30" t="s">
        <v>135</v>
      </c>
      <c r="C542" s="711" t="e">
        <f>Jan!#REF!</f>
        <v>#REF!</v>
      </c>
      <c r="D542" s="712"/>
      <c r="E542" s="711" t="e">
        <f>C542</f>
        <v>#REF!</v>
      </c>
      <c r="F542" s="712"/>
      <c r="G542" s="711" t="e">
        <f>C542</f>
        <v>#REF!</v>
      </c>
      <c r="H542" s="322"/>
    </row>
    <row r="543" spans="1:10" x14ac:dyDescent="0.2">
      <c r="A543" s="318" t="s">
        <v>174</v>
      </c>
      <c r="C543" s="64"/>
      <c r="D543" s="64"/>
      <c r="E543" s="64"/>
      <c r="F543" s="64"/>
      <c r="G543" s="64"/>
      <c r="H543" s="322"/>
    </row>
    <row r="544" spans="1:10" x14ac:dyDescent="0.2">
      <c r="A544" s="316" t="s">
        <v>175</v>
      </c>
      <c r="B544" s="30" t="s">
        <v>135</v>
      </c>
      <c r="C544" s="64" t="e">
        <f>Jan!#REF!</f>
        <v>#REF!</v>
      </c>
      <c r="D544" s="64"/>
      <c r="E544" s="64" t="e">
        <f>C544</f>
        <v>#REF!</v>
      </c>
      <c r="F544" s="64"/>
      <c r="G544" s="64" t="e">
        <f>C544</f>
        <v>#REF!</v>
      </c>
      <c r="H544" s="324"/>
    </row>
    <row r="545" spans="1:8" x14ac:dyDescent="0.2">
      <c r="A545" s="316" t="s">
        <v>176</v>
      </c>
      <c r="B545" s="30" t="s">
        <v>135</v>
      </c>
      <c r="C545" s="64" t="e">
        <f>Jan!#REF!</f>
        <v>#REF!</v>
      </c>
      <c r="D545" s="64"/>
      <c r="E545" s="64">
        <v>2.5000000000000001E-3</v>
      </c>
      <c r="F545" s="64"/>
      <c r="G545" s="378" t="e">
        <f>C545</f>
        <v>#REF!</v>
      </c>
      <c r="H545" s="322"/>
    </row>
    <row r="546" spans="1:8" x14ac:dyDescent="0.2">
      <c r="A546" s="316" t="s">
        <v>200</v>
      </c>
      <c r="B546" s="30" t="s">
        <v>135</v>
      </c>
      <c r="C546" s="64" t="e">
        <f>Jan!#REF!</f>
        <v>#REF!</v>
      </c>
      <c r="D546" s="64"/>
      <c r="E546" s="64" t="e">
        <f>C546</f>
        <v>#REF!</v>
      </c>
      <c r="F546" s="64"/>
      <c r="G546" s="378" t="e">
        <f>C546</f>
        <v>#REF!</v>
      </c>
      <c r="H546" s="324"/>
    </row>
    <row r="547" spans="1:8" x14ac:dyDescent="0.2">
      <c r="A547" s="325" t="s">
        <v>182</v>
      </c>
      <c r="C547" s="64"/>
      <c r="D547" s="64"/>
      <c r="E547" s="64"/>
      <c r="F547" s="64"/>
      <c r="G547" s="378"/>
      <c r="H547" s="324"/>
    </row>
    <row r="548" spans="1:8" x14ac:dyDescent="0.2">
      <c r="A548" s="316" t="s">
        <v>211</v>
      </c>
      <c r="B548" s="30" t="s">
        <v>135</v>
      </c>
      <c r="C548" s="64" t="e">
        <f>Jan!#REF!</f>
        <v>#REF!</v>
      </c>
      <c r="D548" s="64"/>
      <c r="E548" s="64" t="e">
        <f>C548</f>
        <v>#REF!</v>
      </c>
      <c r="F548" s="64"/>
      <c r="G548" s="378" t="e">
        <f>C548</f>
        <v>#REF!</v>
      </c>
      <c r="H548" s="324"/>
    </row>
    <row r="549" spans="1:8" x14ac:dyDescent="0.2">
      <c r="A549" s="316" t="s">
        <v>212</v>
      </c>
      <c r="B549" s="30" t="s">
        <v>135</v>
      </c>
      <c r="C549" s="64" t="e">
        <f>Jan!#REF!</f>
        <v>#REF!</v>
      </c>
      <c r="D549" s="64"/>
      <c r="E549" s="64" t="e">
        <f>C549</f>
        <v>#REF!</v>
      </c>
      <c r="F549" s="64"/>
      <c r="G549" s="378" t="e">
        <f>C549</f>
        <v>#REF!</v>
      </c>
      <c r="H549" s="324"/>
    </row>
    <row r="550" spans="1:8" x14ac:dyDescent="0.2">
      <c r="A550" s="316" t="s">
        <v>213</v>
      </c>
      <c r="B550" s="30" t="s">
        <v>135</v>
      </c>
      <c r="C550" s="64" t="e">
        <f>Jan!#REF!</f>
        <v>#REF!</v>
      </c>
      <c r="D550" s="64"/>
      <c r="E550" s="64" t="e">
        <f>C550</f>
        <v>#REF!</v>
      </c>
      <c r="F550" s="64"/>
      <c r="G550" s="378" t="e">
        <f>C550</f>
        <v>#REF!</v>
      </c>
      <c r="H550" s="324"/>
    </row>
    <row r="551" spans="1:8" x14ac:dyDescent="0.2">
      <c r="A551" s="316" t="s">
        <v>214</v>
      </c>
      <c r="B551" s="30" t="s">
        <v>215</v>
      </c>
      <c r="C551" s="326" t="e">
        <f>Jan!#REF!</f>
        <v>#REF!</v>
      </c>
      <c r="D551" s="64"/>
      <c r="E551" s="326">
        <v>0.12</v>
      </c>
      <c r="F551" s="64"/>
      <c r="G551" s="326">
        <v>0.12</v>
      </c>
      <c r="H551" s="324"/>
    </row>
    <row r="552" spans="1:8" x14ac:dyDescent="0.2">
      <c r="A552" s="327" t="s">
        <v>177</v>
      </c>
      <c r="B552" s="60" t="s">
        <v>135</v>
      </c>
      <c r="C552" s="64" t="e">
        <f>Jan!#REF!</f>
        <v>#REF!</v>
      </c>
      <c r="D552" s="328"/>
      <c r="E552" s="328">
        <v>0.40039999999999998</v>
      </c>
      <c r="F552" s="328"/>
      <c r="G552" s="329" t="e">
        <f>C552</f>
        <v>#REF!</v>
      </c>
      <c r="H552" s="330"/>
    </row>
    <row r="553" spans="1:8" ht="13.5" thickBot="1" x14ac:dyDescent="0.25">
      <c r="A553" s="714" t="s">
        <v>178</v>
      </c>
      <c r="B553" s="332"/>
      <c r="C553" s="333" t="e">
        <f>C522+C526+C527+C531+C534+C537+C538+C539+C541+C544+C545+C546+C548+C549+C550+C552-0.0001</f>
        <v>#REF!</v>
      </c>
      <c r="D553" s="334"/>
      <c r="E553" s="333" t="e">
        <f>E522+E526+E527+E531+E534+E537+E538+E539+E541+E544+E545+E546+E548+E549+E550+E552-0.0001</f>
        <v>#REF!</v>
      </c>
      <c r="F553" s="334"/>
      <c r="G553" s="333" t="e">
        <f>G522+G526+G527+G531+G534+G537+G538+G539+G541+G544+G545+G546+G548+G549+G550+G552-0.0001</f>
        <v>#REF!</v>
      </c>
      <c r="H553" s="335"/>
    </row>
    <row r="554" spans="1:8" ht="14.25" thickTop="1" thickBot="1" x14ac:dyDescent="0.25">
      <c r="A554" s="331" t="s">
        <v>179</v>
      </c>
      <c r="B554" s="332" t="s">
        <v>166</v>
      </c>
      <c r="C554" s="336" t="e">
        <f>C536</f>
        <v>#REF!</v>
      </c>
      <c r="D554" s="336"/>
      <c r="E554" s="336" t="e">
        <f>E533+E536</f>
        <v>#REF!</v>
      </c>
      <c r="F554" s="336"/>
      <c r="G554" s="336" t="e">
        <f>G533+G536</f>
        <v>#REF!</v>
      </c>
      <c r="H554" s="335"/>
    </row>
    <row r="555" spans="1:8" ht="14.25" thickTop="1" thickBot="1" x14ac:dyDescent="0.25">
      <c r="A555" s="713" t="s">
        <v>216</v>
      </c>
      <c r="B555" s="337" t="s">
        <v>158</v>
      </c>
      <c r="C555" s="333"/>
      <c r="D555" s="333"/>
      <c r="E555" s="333"/>
      <c r="F555" s="333"/>
      <c r="G555" s="336">
        <f>G530</f>
        <v>267.89999999999998</v>
      </c>
      <c r="H555" s="335"/>
    </row>
    <row r="556" spans="1:8" ht="13.5" thickTop="1" x14ac:dyDescent="0.2">
      <c r="A556" s="316"/>
      <c r="C556" s="552"/>
      <c r="E556" s="552"/>
      <c r="G556" s="552"/>
      <c r="H556" s="317"/>
    </row>
    <row r="557" spans="1:8" x14ac:dyDescent="0.2">
      <c r="A557" s="338" t="s">
        <v>5</v>
      </c>
      <c r="B557" s="339" t="s">
        <v>218</v>
      </c>
      <c r="C557" s="340"/>
      <c r="E557" s="340" t="s">
        <v>193</v>
      </c>
      <c r="F557" s="340" t="s">
        <v>193</v>
      </c>
      <c r="G557" s="340"/>
      <c r="H557" s="317"/>
    </row>
    <row r="558" spans="1:8" x14ac:dyDescent="0.2">
      <c r="A558" s="338"/>
      <c r="B558" s="339"/>
      <c r="C558" s="340"/>
      <c r="E558" s="340"/>
      <c r="F558" s="340" t="s">
        <v>193</v>
      </c>
      <c r="G558" s="340"/>
      <c r="H558" s="317"/>
    </row>
    <row r="559" spans="1:8" x14ac:dyDescent="0.2">
      <c r="A559" s="338"/>
      <c r="B559" s="339"/>
      <c r="C559" s="340"/>
      <c r="E559" s="340"/>
      <c r="F559" s="340"/>
      <c r="G559" s="340"/>
      <c r="H559" s="317"/>
    </row>
    <row r="560" spans="1:8" x14ac:dyDescent="0.2">
      <c r="A560" s="338"/>
      <c r="B560" s="339"/>
      <c r="C560" s="339"/>
      <c r="E560" s="339"/>
      <c r="F560" s="339"/>
      <c r="G560" s="339"/>
      <c r="H560" s="317"/>
    </row>
    <row r="561" spans="1:8" x14ac:dyDescent="0.2">
      <c r="A561" s="341" t="s">
        <v>14</v>
      </c>
      <c r="B561" s="342" t="s">
        <v>219</v>
      </c>
      <c r="C561" s="342"/>
      <c r="E561" s="342" t="s">
        <v>195</v>
      </c>
      <c r="F561" s="342" t="s">
        <v>195</v>
      </c>
      <c r="G561" s="342"/>
      <c r="H561" s="317"/>
    </row>
    <row r="562" spans="1:8" ht="13.5" thickBot="1" x14ac:dyDescent="0.25">
      <c r="A562" s="343" t="s">
        <v>217</v>
      </c>
      <c r="B562" s="344" t="s">
        <v>12</v>
      </c>
      <c r="C562" s="344"/>
      <c r="D562" s="345"/>
      <c r="E562" s="344" t="s">
        <v>197</v>
      </c>
      <c r="F562" s="344" t="s">
        <v>197</v>
      </c>
      <c r="G562" s="344"/>
      <c r="H562" s="346"/>
    </row>
  </sheetData>
  <mergeCells count="54">
    <mergeCell ref="A520:B520"/>
    <mergeCell ref="D520:F520"/>
    <mergeCell ref="G520:H520"/>
    <mergeCell ref="A471:B471"/>
    <mergeCell ref="D471:F471"/>
    <mergeCell ref="G471:H471"/>
    <mergeCell ref="A375:B375"/>
    <mergeCell ref="D375:F375"/>
    <mergeCell ref="G375:H375"/>
    <mergeCell ref="A425:B425"/>
    <mergeCell ref="D425:F425"/>
    <mergeCell ref="G425:H425"/>
    <mergeCell ref="G263:H263"/>
    <mergeCell ref="A275:B275"/>
    <mergeCell ref="D275:F275"/>
    <mergeCell ref="G275:H275"/>
    <mergeCell ref="A325:B325"/>
    <mergeCell ref="D325:F325"/>
    <mergeCell ref="G325:H325"/>
    <mergeCell ref="G218:H218"/>
    <mergeCell ref="A230:B230"/>
    <mergeCell ref="D230:F230"/>
    <mergeCell ref="G230:H230"/>
    <mergeCell ref="D262:F262"/>
    <mergeCell ref="G262:H262"/>
    <mergeCell ref="G173:H173"/>
    <mergeCell ref="A185:B185"/>
    <mergeCell ref="D185:F185"/>
    <mergeCell ref="G185:H185"/>
    <mergeCell ref="D217:F217"/>
    <mergeCell ref="G217:H217"/>
    <mergeCell ref="G128:H128"/>
    <mergeCell ref="A140:B140"/>
    <mergeCell ref="D140:F140"/>
    <mergeCell ref="G140:H140"/>
    <mergeCell ref="D172:F172"/>
    <mergeCell ref="G172:H172"/>
    <mergeCell ref="G83:H83"/>
    <mergeCell ref="A95:B95"/>
    <mergeCell ref="D95:F95"/>
    <mergeCell ref="G95:H95"/>
    <mergeCell ref="D127:F127"/>
    <mergeCell ref="G127:H127"/>
    <mergeCell ref="G39:H39"/>
    <mergeCell ref="A51:B51"/>
    <mergeCell ref="D51:F51"/>
    <mergeCell ref="G51:H51"/>
    <mergeCell ref="D82:F82"/>
    <mergeCell ref="G82:H82"/>
    <mergeCell ref="A7:B7"/>
    <mergeCell ref="D7:F7"/>
    <mergeCell ref="G7:H7"/>
    <mergeCell ref="D38:F38"/>
    <mergeCell ref="G38:H38"/>
  </mergeCells>
  <pageMargins left="0.82" right="0.68" top="0.7" bottom="0.43" header="0.5" footer="0.5"/>
  <pageSetup orientation="portrait" horizontalDpi="180" verticalDpi="18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59"/>
  <sheetViews>
    <sheetView topLeftCell="A38" zoomScale="110" zoomScaleNormal="110" workbookViewId="0">
      <selection activeCell="C57" sqref="C57"/>
    </sheetView>
  </sheetViews>
  <sheetFormatPr defaultColWidth="9.140625" defaultRowHeight="15" customHeight="1" x14ac:dyDescent="0.2"/>
  <cols>
    <col min="1" max="1" width="39.140625" style="823" customWidth="1"/>
    <col min="2" max="2" width="12" style="823" customWidth="1"/>
    <col min="3" max="3" width="12.7109375" style="823" customWidth="1"/>
    <col min="4" max="4" width="1.7109375" style="823" customWidth="1"/>
    <col min="5" max="5" width="10.85546875" style="823" customWidth="1"/>
    <col min="6" max="6" width="11.85546875" style="823" hidden="1" customWidth="1"/>
    <col min="7" max="7" width="13.42578125" style="823" customWidth="1"/>
    <col min="8" max="8" width="2.42578125" style="823" customWidth="1"/>
    <col min="9" max="9" width="18.7109375" style="823" bestFit="1" customWidth="1"/>
    <col min="10" max="10" width="17.5703125" style="866" customWidth="1"/>
    <col min="11" max="11" width="14.42578125" style="866" customWidth="1"/>
    <col min="12" max="12" width="12.7109375" style="867" customWidth="1"/>
    <col min="13" max="13" width="15.5703125" style="823" customWidth="1"/>
    <col min="14" max="14" width="10" style="823" customWidth="1"/>
    <col min="15" max="15" width="16.140625" style="823" bestFit="1" customWidth="1"/>
    <col min="16" max="17" width="7.85546875" style="823" bestFit="1" customWidth="1"/>
    <col min="18" max="18" width="9.5703125" style="868" bestFit="1" customWidth="1"/>
    <col min="19" max="19" width="16.5703125" style="823" customWidth="1"/>
    <col min="20" max="20" width="12.28515625" style="823" customWidth="1"/>
    <col min="21" max="21" width="12.5703125" style="823" customWidth="1"/>
    <col min="22" max="22" width="9.140625" style="823"/>
    <col min="23" max="23" width="16.42578125" style="823" customWidth="1"/>
    <col min="24" max="24" width="17.5703125" style="823" customWidth="1"/>
    <col min="25" max="25" width="16" style="823" customWidth="1"/>
    <col min="26" max="26" width="15" style="823" customWidth="1"/>
    <col min="27" max="27" width="14.28515625" style="823" bestFit="1" customWidth="1"/>
    <col min="28" max="29" width="14.140625" style="823" customWidth="1"/>
    <col min="30" max="16384" width="9.140625" style="823"/>
  </cols>
  <sheetData>
    <row r="1" spans="1:19" ht="15" customHeight="1" thickBot="1" x14ac:dyDescent="0.25"/>
    <row r="2" spans="1:19" ht="15" customHeight="1" x14ac:dyDescent="0.2">
      <c r="A2" s="863"/>
      <c r="B2" s="864"/>
      <c r="C2" s="864"/>
      <c r="D2" s="864"/>
      <c r="E2" s="864"/>
      <c r="F2" s="864"/>
      <c r="G2" s="864"/>
      <c r="H2" s="865"/>
    </row>
    <row r="3" spans="1:19" ht="15" customHeight="1" x14ac:dyDescent="0.2">
      <c r="A3" s="869"/>
      <c r="H3" s="870"/>
    </row>
    <row r="4" spans="1:19" ht="15" customHeight="1" x14ac:dyDescent="0.2">
      <c r="A4" s="869"/>
      <c r="H4" s="870"/>
    </row>
    <row r="5" spans="1:19" ht="15" customHeight="1" x14ac:dyDescent="0.2">
      <c r="A5" s="871" t="s">
        <v>60</v>
      </c>
      <c r="H5" s="870"/>
    </row>
    <row r="6" spans="1:19" ht="15" customHeight="1" x14ac:dyDescent="0.2">
      <c r="A6" s="872" t="s">
        <v>362</v>
      </c>
      <c r="H6" s="870"/>
    </row>
    <row r="7" spans="1:19" ht="15" hidden="1" customHeight="1" x14ac:dyDescent="0.2">
      <c r="A7" s="873"/>
      <c r="H7" s="870"/>
    </row>
    <row r="8" spans="1:19" ht="15" customHeight="1" x14ac:dyDescent="0.2">
      <c r="A8" s="1056" t="s">
        <v>318</v>
      </c>
      <c r="B8" s="1057"/>
      <c r="C8" s="937" t="s">
        <v>6</v>
      </c>
      <c r="D8" s="1058" t="s">
        <v>47</v>
      </c>
      <c r="E8" s="1059"/>
      <c r="F8" s="1060"/>
      <c r="G8" s="1058" t="s">
        <v>13</v>
      </c>
      <c r="H8" s="1061"/>
    </row>
    <row r="9" spans="1:19" ht="15" customHeight="1" x14ac:dyDescent="0.2">
      <c r="A9" s="871" t="s">
        <v>149</v>
      </c>
      <c r="H9" s="870"/>
    </row>
    <row r="10" spans="1:19" ht="15" customHeight="1" x14ac:dyDescent="0.2">
      <c r="A10" s="869" t="s">
        <v>150</v>
      </c>
      <c r="B10" s="823" t="s">
        <v>338</v>
      </c>
      <c r="C10" s="821">
        <v>10.679399999999999</v>
      </c>
      <c r="D10" s="874"/>
      <c r="E10" s="821">
        <v>10.679399999999999</v>
      </c>
      <c r="F10" s="821"/>
      <c r="G10" s="821">
        <v>10.679399999999999</v>
      </c>
      <c r="H10" s="875"/>
      <c r="I10" s="876"/>
      <c r="J10" s="877"/>
      <c r="K10" s="877"/>
      <c r="Q10" s="878"/>
      <c r="R10" s="879"/>
    </row>
    <row r="11" spans="1:19" ht="15" customHeight="1" x14ac:dyDescent="0.2">
      <c r="A11" s="869" t="s">
        <v>347</v>
      </c>
      <c r="B11" s="823" t="s">
        <v>338</v>
      </c>
      <c r="C11" s="821">
        <v>5.2600000000000001E-2</v>
      </c>
      <c r="D11" s="874"/>
      <c r="E11" s="821">
        <v>5.2600000000000001E-2</v>
      </c>
      <c r="F11" s="821"/>
      <c r="G11" s="821">
        <v>5.2600000000000001E-2</v>
      </c>
      <c r="H11" s="875"/>
      <c r="I11" s="876"/>
      <c r="J11" s="877"/>
      <c r="K11" s="877"/>
      <c r="Q11" s="821"/>
    </row>
    <row r="12" spans="1:19" ht="15" customHeight="1" x14ac:dyDescent="0.2">
      <c r="A12" s="869" t="s">
        <v>348</v>
      </c>
      <c r="B12" s="823" t="s">
        <v>338</v>
      </c>
      <c r="C12" s="821">
        <v>-2.5999999999999999E-3</v>
      </c>
      <c r="D12" s="874"/>
      <c r="E12" s="821">
        <v>-2.5999999999999999E-3</v>
      </c>
      <c r="F12" s="821"/>
      <c r="G12" s="821">
        <v>-2.5999999999999999E-3</v>
      </c>
      <c r="H12" s="875"/>
      <c r="I12" s="876"/>
      <c r="J12" s="877"/>
      <c r="K12" s="877"/>
      <c r="P12" s="821"/>
      <c r="Q12" s="821"/>
      <c r="S12" s="880"/>
    </row>
    <row r="13" spans="1:19" ht="15" customHeight="1" x14ac:dyDescent="0.2">
      <c r="A13" s="869" t="s">
        <v>350</v>
      </c>
      <c r="B13" s="823" t="s">
        <v>338</v>
      </c>
      <c r="C13" s="821">
        <v>0.221</v>
      </c>
      <c r="D13" s="874"/>
      <c r="E13" s="821">
        <v>0.221</v>
      </c>
      <c r="F13" s="821"/>
      <c r="G13" s="821">
        <v>0.221</v>
      </c>
      <c r="H13" s="875"/>
      <c r="I13" s="876"/>
      <c r="J13" s="877"/>
      <c r="K13" s="877"/>
      <c r="Q13" s="821"/>
      <c r="R13" s="881"/>
      <c r="S13" s="881"/>
    </row>
    <row r="14" spans="1:19" ht="15" customHeight="1" x14ac:dyDescent="0.2">
      <c r="A14" s="869" t="s">
        <v>349</v>
      </c>
      <c r="B14" s="823" t="s">
        <v>338</v>
      </c>
      <c r="C14" s="821">
        <v>-1.17E-2</v>
      </c>
      <c r="D14" s="874"/>
      <c r="E14" s="821">
        <v>-1.17E-2</v>
      </c>
      <c r="F14" s="821"/>
      <c r="G14" s="821">
        <v>-1.17E-2</v>
      </c>
      <c r="H14" s="875"/>
      <c r="I14" s="876"/>
      <c r="J14" s="877"/>
      <c r="K14" s="877"/>
      <c r="Q14" s="821"/>
      <c r="R14" s="881"/>
      <c r="S14" s="881"/>
    </row>
    <row r="15" spans="1:19" ht="15" customHeight="1" x14ac:dyDescent="0.2">
      <c r="A15" s="871" t="s">
        <v>156</v>
      </c>
      <c r="C15" s="822"/>
      <c r="D15" s="822"/>
      <c r="E15" s="822"/>
      <c r="F15" s="822"/>
      <c r="G15" s="822"/>
      <c r="H15" s="882"/>
      <c r="P15" s="883"/>
      <c r="Q15" s="884"/>
      <c r="R15" s="885"/>
    </row>
    <row r="16" spans="1:19" ht="15" customHeight="1" x14ac:dyDescent="0.2">
      <c r="A16" s="869" t="s">
        <v>157</v>
      </c>
      <c r="B16" s="823" t="s">
        <v>339</v>
      </c>
      <c r="C16" s="821"/>
      <c r="D16" s="821"/>
      <c r="E16" s="821"/>
      <c r="F16" s="821"/>
      <c r="G16" s="821">
        <v>184.50659999999999</v>
      </c>
      <c r="H16" s="882"/>
      <c r="J16" s="877"/>
      <c r="K16" s="877"/>
    </row>
    <row r="17" spans="1:13" ht="15" customHeight="1" x14ac:dyDescent="0.2">
      <c r="A17" s="869" t="s">
        <v>159</v>
      </c>
      <c r="B17" s="823" t="s">
        <v>338</v>
      </c>
      <c r="C17" s="821">
        <v>0.72399999999999998</v>
      </c>
      <c r="D17" s="821"/>
      <c r="E17" s="821">
        <v>0.72399999999999998</v>
      </c>
      <c r="F17" s="821"/>
      <c r="G17" s="821"/>
      <c r="H17" s="882"/>
      <c r="J17" s="877"/>
      <c r="K17" s="877"/>
    </row>
    <row r="18" spans="1:13" ht="15" customHeight="1" x14ac:dyDescent="0.2">
      <c r="A18" s="871" t="s">
        <v>160</v>
      </c>
      <c r="B18" s="823" t="s">
        <v>338</v>
      </c>
      <c r="C18" s="821">
        <v>1.3084</v>
      </c>
      <c r="D18" s="821"/>
      <c r="E18" s="821">
        <v>1.3084</v>
      </c>
      <c r="F18" s="821"/>
      <c r="G18" s="821">
        <v>1.3084</v>
      </c>
      <c r="H18" s="882"/>
      <c r="J18" s="877"/>
      <c r="K18" s="877"/>
    </row>
    <row r="19" spans="1:13" ht="15" customHeight="1" x14ac:dyDescent="0.2">
      <c r="A19" s="871" t="s">
        <v>161</v>
      </c>
      <c r="C19" s="821"/>
      <c r="D19" s="821"/>
      <c r="E19" s="821"/>
      <c r="F19" s="821"/>
      <c r="G19" s="821"/>
      <c r="H19" s="875"/>
    </row>
    <row r="20" spans="1:13" ht="15" customHeight="1" x14ac:dyDescent="0.2">
      <c r="A20" s="869" t="s">
        <v>162</v>
      </c>
      <c r="B20" s="823" t="s">
        <v>339</v>
      </c>
      <c r="C20" s="821"/>
      <c r="D20" s="821"/>
      <c r="E20" s="821"/>
      <c r="F20" s="821"/>
      <c r="G20" s="824">
        <v>267.89999999999998</v>
      </c>
      <c r="H20" s="875"/>
      <c r="J20" s="877"/>
      <c r="K20" s="877"/>
    </row>
    <row r="21" spans="1:13" ht="15" customHeight="1" x14ac:dyDescent="0.2">
      <c r="A21" s="869" t="s">
        <v>163</v>
      </c>
      <c r="B21" s="823" t="s">
        <v>338</v>
      </c>
      <c r="C21" s="821">
        <v>0.84489999999999998</v>
      </c>
      <c r="D21" s="886"/>
      <c r="E21" s="887">
        <v>0.92589999999999995</v>
      </c>
      <c r="F21" s="821"/>
      <c r="G21" s="821"/>
      <c r="H21" s="875"/>
      <c r="J21" s="877"/>
      <c r="K21" s="877"/>
      <c r="M21" s="821"/>
    </row>
    <row r="22" spans="1:13" ht="15" customHeight="1" x14ac:dyDescent="0.2">
      <c r="A22" s="871" t="s">
        <v>164</v>
      </c>
      <c r="C22" s="821"/>
      <c r="D22" s="886"/>
      <c r="E22" s="821"/>
      <c r="F22" s="821"/>
      <c r="G22" s="821"/>
      <c r="H22" s="875"/>
    </row>
    <row r="23" spans="1:13" ht="15" customHeight="1" x14ac:dyDescent="0.2">
      <c r="A23" s="869" t="s">
        <v>334</v>
      </c>
      <c r="B23" s="823" t="s">
        <v>166</v>
      </c>
      <c r="C23" s="821"/>
      <c r="D23" s="886"/>
      <c r="E23" s="888">
        <v>40.15</v>
      </c>
      <c r="F23" s="824"/>
      <c r="G23" s="888">
        <v>40.15</v>
      </c>
      <c r="H23" s="875"/>
      <c r="J23" s="877"/>
      <c r="K23" s="877"/>
      <c r="M23" s="821"/>
    </row>
    <row r="24" spans="1:13" ht="15" customHeight="1" x14ac:dyDescent="0.2">
      <c r="A24" s="869" t="s">
        <v>167</v>
      </c>
      <c r="B24" s="823" t="s">
        <v>338</v>
      </c>
      <c r="C24" s="821">
        <v>0.7732</v>
      </c>
      <c r="D24" s="886"/>
      <c r="E24" s="821"/>
      <c r="F24" s="821"/>
      <c r="G24" s="821"/>
      <c r="H24" s="875"/>
      <c r="J24" s="877"/>
      <c r="K24" s="877"/>
    </row>
    <row r="25" spans="1:13" ht="15" customHeight="1" x14ac:dyDescent="0.2">
      <c r="A25" s="871" t="s">
        <v>168</v>
      </c>
      <c r="D25" s="886"/>
      <c r="E25" s="821"/>
      <c r="F25" s="821"/>
      <c r="G25" s="821"/>
      <c r="H25" s="875"/>
      <c r="I25" s="821"/>
    </row>
    <row r="26" spans="1:13" ht="15" customHeight="1" x14ac:dyDescent="0.2">
      <c r="A26" s="869" t="s">
        <v>221</v>
      </c>
      <c r="B26" s="823" t="s">
        <v>170</v>
      </c>
      <c r="C26" s="824">
        <v>5</v>
      </c>
      <c r="D26" s="886"/>
      <c r="E26" s="888">
        <v>28.72</v>
      </c>
      <c r="F26" s="824"/>
      <c r="G26" s="888">
        <v>28.72</v>
      </c>
      <c r="H26" s="875"/>
      <c r="J26" s="877"/>
      <c r="K26" s="877"/>
    </row>
    <row r="27" spans="1:13" ht="15" customHeight="1" x14ac:dyDescent="0.2">
      <c r="A27" s="869" t="s">
        <v>171</v>
      </c>
      <c r="B27" s="823" t="s">
        <v>338</v>
      </c>
      <c r="C27" s="821">
        <v>0.45689999999999997</v>
      </c>
      <c r="D27" s="821"/>
      <c r="E27" s="821"/>
      <c r="F27" s="821"/>
      <c r="G27" s="821"/>
      <c r="H27" s="875"/>
      <c r="J27" s="877"/>
      <c r="K27" s="877"/>
    </row>
    <row r="28" spans="1:13" ht="15" customHeight="1" x14ac:dyDescent="0.2">
      <c r="A28" s="889" t="s">
        <v>268</v>
      </c>
      <c r="B28" s="890" t="s">
        <v>338</v>
      </c>
      <c r="C28" s="825">
        <v>0.1028</v>
      </c>
      <c r="D28" s="891"/>
      <c r="E28" s="892">
        <v>0.1028</v>
      </c>
      <c r="F28" s="891"/>
      <c r="G28" s="892">
        <v>0.1028</v>
      </c>
      <c r="H28" s="882"/>
      <c r="J28" s="877"/>
      <c r="K28" s="877"/>
    </row>
    <row r="29" spans="1:13" ht="15" customHeight="1" x14ac:dyDescent="0.2">
      <c r="A29" s="893" t="s">
        <v>269</v>
      </c>
      <c r="B29" s="823" t="s">
        <v>338</v>
      </c>
      <c r="C29" s="826">
        <v>6.9999999999999999E-4</v>
      </c>
      <c r="D29" s="894"/>
      <c r="E29" s="826">
        <v>6.9999999999999999E-4</v>
      </c>
      <c r="F29" s="894"/>
      <c r="G29" s="826">
        <v>6.9999999999999999E-4</v>
      </c>
      <c r="H29" s="882"/>
      <c r="I29" s="883"/>
      <c r="J29" s="877"/>
      <c r="K29" s="877"/>
    </row>
    <row r="30" spans="1:13" ht="16.5" customHeight="1" x14ac:dyDescent="0.2">
      <c r="A30" s="871" t="s">
        <v>174</v>
      </c>
      <c r="C30" s="821"/>
      <c r="D30" s="821"/>
      <c r="E30" s="821"/>
      <c r="F30" s="821"/>
      <c r="G30" s="821"/>
      <c r="H30" s="875"/>
    </row>
    <row r="31" spans="1:13" ht="15" customHeight="1" x14ac:dyDescent="0.2">
      <c r="A31" s="869" t="s">
        <v>175</v>
      </c>
      <c r="B31" s="823" t="s">
        <v>338</v>
      </c>
      <c r="C31" s="821">
        <v>0.17830000000000001</v>
      </c>
      <c r="D31" s="821"/>
      <c r="E31" s="821">
        <v>0.17830000000000001</v>
      </c>
      <c r="F31" s="821"/>
      <c r="G31" s="821">
        <v>0.17830000000000001</v>
      </c>
      <c r="H31" s="895"/>
      <c r="J31" s="877"/>
      <c r="K31" s="877"/>
    </row>
    <row r="32" spans="1:13" ht="15" customHeight="1" x14ac:dyDescent="0.2">
      <c r="A32" s="869" t="s">
        <v>176</v>
      </c>
      <c r="B32" s="823" t="s">
        <v>338</v>
      </c>
      <c r="C32" s="821"/>
      <c r="D32" s="821"/>
      <c r="E32" s="821"/>
      <c r="F32" s="821"/>
      <c r="G32" s="887"/>
      <c r="H32" s="875"/>
      <c r="I32" s="821"/>
      <c r="J32" s="877"/>
      <c r="K32" s="877"/>
    </row>
    <row r="33" spans="1:18" ht="15" customHeight="1" x14ac:dyDescent="0.2">
      <c r="A33" s="869" t="s">
        <v>200</v>
      </c>
      <c r="B33" s="823" t="s">
        <v>338</v>
      </c>
      <c r="C33" s="821"/>
      <c r="D33" s="821"/>
      <c r="E33" s="821"/>
      <c r="F33" s="821"/>
      <c r="G33" s="887"/>
      <c r="H33" s="875"/>
      <c r="I33" s="821"/>
      <c r="J33" s="877"/>
      <c r="K33" s="877"/>
    </row>
    <row r="34" spans="1:18" ht="15" customHeight="1" x14ac:dyDescent="0.2">
      <c r="A34" s="869" t="s">
        <v>337</v>
      </c>
      <c r="B34" s="823" t="s">
        <v>338</v>
      </c>
      <c r="C34" s="821">
        <v>1.6999999999999999E-3</v>
      </c>
      <c r="D34" s="821"/>
      <c r="E34" s="821">
        <v>1.6999999999999999E-3</v>
      </c>
      <c r="F34" s="821"/>
      <c r="G34" s="887">
        <v>1.6999999999999999E-3</v>
      </c>
      <c r="H34" s="895"/>
      <c r="J34" s="877"/>
      <c r="K34" s="877"/>
      <c r="O34" s="896"/>
      <c r="P34" s="896"/>
      <c r="Q34" s="896"/>
    </row>
    <row r="35" spans="1:18" ht="15" customHeight="1" x14ac:dyDescent="0.2">
      <c r="A35" s="869" t="s">
        <v>340</v>
      </c>
      <c r="B35" s="823" t="s">
        <v>338</v>
      </c>
      <c r="C35" s="821">
        <v>4.2799999999999998E-2</v>
      </c>
      <c r="D35" s="821"/>
      <c r="E35" s="821">
        <v>4.2799999999999998E-2</v>
      </c>
      <c r="F35" s="821"/>
      <c r="G35" s="887">
        <v>4.2799999999999998E-2</v>
      </c>
      <c r="H35" s="895"/>
      <c r="I35" s="821"/>
      <c r="J35" s="877"/>
      <c r="K35" s="877"/>
    </row>
    <row r="36" spans="1:18" ht="15" customHeight="1" x14ac:dyDescent="0.2">
      <c r="A36" s="893" t="s">
        <v>335</v>
      </c>
      <c r="B36" s="823" t="s">
        <v>338</v>
      </c>
      <c r="C36" s="827">
        <v>9.8299999999999998E-2</v>
      </c>
      <c r="D36" s="891"/>
      <c r="E36" s="827">
        <v>9.8299999999999998E-2</v>
      </c>
      <c r="F36" s="891"/>
      <c r="G36" s="827">
        <v>9.8299999999999998E-2</v>
      </c>
      <c r="H36" s="895"/>
      <c r="J36" s="877"/>
      <c r="K36" s="877"/>
    </row>
    <row r="37" spans="1:18" ht="15" customHeight="1" x14ac:dyDescent="0.2">
      <c r="A37" s="871" t="s">
        <v>182</v>
      </c>
      <c r="C37" s="821"/>
      <c r="D37" s="821"/>
      <c r="E37" s="887"/>
      <c r="F37" s="821"/>
      <c r="G37" s="887"/>
      <c r="H37" s="895"/>
    </row>
    <row r="38" spans="1:18" ht="15" customHeight="1" x14ac:dyDescent="0.2">
      <c r="A38" s="869" t="s">
        <v>211</v>
      </c>
      <c r="B38" s="823" t="s">
        <v>338</v>
      </c>
      <c r="C38" s="821">
        <v>1.3312999999999999</v>
      </c>
      <c r="D38" s="821"/>
      <c r="E38" s="821">
        <v>1.3312999999999999</v>
      </c>
      <c r="F38" s="821"/>
      <c r="G38" s="887">
        <v>1.3312999999999999</v>
      </c>
      <c r="H38" s="895"/>
      <c r="J38" s="877"/>
      <c r="K38" s="877"/>
      <c r="M38" s="897"/>
    </row>
    <row r="39" spans="1:18" ht="15" customHeight="1" x14ac:dyDescent="0.2">
      <c r="A39" s="869" t="s">
        <v>212</v>
      </c>
      <c r="B39" s="823" t="s">
        <v>338</v>
      </c>
      <c r="C39" s="821">
        <v>8.6699999999999999E-2</v>
      </c>
      <c r="D39" s="821"/>
      <c r="E39" s="821">
        <v>8.6699999999999999E-2</v>
      </c>
      <c r="F39" s="821"/>
      <c r="G39" s="887">
        <v>8.6699999999999999E-2</v>
      </c>
      <c r="H39" s="895"/>
      <c r="J39" s="877"/>
      <c r="K39" s="877"/>
      <c r="M39" s="897"/>
    </row>
    <row r="40" spans="1:18" ht="15" customHeight="1" x14ac:dyDescent="0.2">
      <c r="A40" s="869" t="s">
        <v>213</v>
      </c>
      <c r="B40" s="823" t="s">
        <v>338</v>
      </c>
      <c r="C40" s="821">
        <v>0.15590000000000001</v>
      </c>
      <c r="D40" s="821"/>
      <c r="E40" s="821">
        <v>0.15590000000000001</v>
      </c>
      <c r="F40" s="821"/>
      <c r="G40" s="887">
        <v>0.15590000000000001</v>
      </c>
      <c r="H40" s="895"/>
      <c r="J40" s="877"/>
      <c r="K40" s="877"/>
      <c r="M40" s="897"/>
    </row>
    <row r="41" spans="1:18" ht="15" customHeight="1" x14ac:dyDescent="0.2">
      <c r="A41" s="869" t="s">
        <v>214</v>
      </c>
      <c r="B41" s="823" t="s">
        <v>338</v>
      </c>
      <c r="C41" s="821">
        <v>0.26140000000000002</v>
      </c>
      <c r="D41" s="821"/>
      <c r="E41" s="821">
        <v>0.1235</v>
      </c>
      <c r="F41" s="821"/>
      <c r="G41" s="887">
        <v>1.24E-2</v>
      </c>
      <c r="H41" s="895"/>
      <c r="J41" s="877"/>
      <c r="K41" s="877"/>
      <c r="L41" s="898"/>
      <c r="M41" s="897"/>
    </row>
    <row r="42" spans="1:18" ht="15" customHeight="1" x14ac:dyDescent="0.2">
      <c r="A42" s="899" t="s">
        <v>177</v>
      </c>
      <c r="B42" s="900" t="s">
        <v>338</v>
      </c>
      <c r="C42" s="828">
        <v>0.40039999999999998</v>
      </c>
      <c r="D42" s="828"/>
      <c r="E42" s="828">
        <v>0.40039999999999998</v>
      </c>
      <c r="F42" s="828"/>
      <c r="G42" s="901">
        <v>0.40039999999999998</v>
      </c>
      <c r="H42" s="902"/>
      <c r="J42" s="877"/>
      <c r="K42" s="877"/>
    </row>
    <row r="43" spans="1:18" ht="15" customHeight="1" thickBot="1" x14ac:dyDescent="0.25">
      <c r="A43" s="936" t="s">
        <v>178</v>
      </c>
      <c r="B43" s="903"/>
      <c r="C43" s="904">
        <f>10.6794+0.0526-0.0026+0.221-0.0117+0.724+1.3084+0.8449+0.7732+0.4569+0.1028+0.0007+0.1783+0.0017+0.0428+0.0983+1.3313+0.0867+0.1559+0.2614+0.4004</f>
        <v>17.706399999999999</v>
      </c>
      <c r="D43" s="905"/>
      <c r="E43" s="904">
        <f>10.6794+0.0526-0.0026+0.221-0.0117+0.724+1.3084+0.9259+0.1028+0.0007+0.1783+0.0017+0.0428+0.0983+1.3313+0.0867+0.1559+0.1235+0.4004</f>
        <v>16.419400000000007</v>
      </c>
      <c r="F43" s="903"/>
      <c r="G43" s="904">
        <f>10.6794+0.0526-0.0026+0.221-0.0117+1.3084+0.1028+0.0007+0.1783+0.0017+0.0428+0.0983+1.3313+0.0867+0.1559+0.0124+0.4004</f>
        <v>14.658400000000002</v>
      </c>
      <c r="H43" s="882"/>
      <c r="J43" s="906"/>
      <c r="K43" s="906"/>
      <c r="L43" s="904"/>
    </row>
    <row r="44" spans="1:18" ht="15" customHeight="1" thickTop="1" x14ac:dyDescent="0.2">
      <c r="A44" s="907" t="s">
        <v>179</v>
      </c>
      <c r="B44" s="908" t="s">
        <v>166</v>
      </c>
      <c r="C44" s="909">
        <f>C26</f>
        <v>5</v>
      </c>
      <c r="D44" s="909"/>
      <c r="E44" s="909">
        <f>E23+E26</f>
        <v>68.87</v>
      </c>
      <c r="F44" s="909"/>
      <c r="G44" s="909">
        <f>G23+G26</f>
        <v>68.87</v>
      </c>
      <c r="H44" s="910"/>
      <c r="J44" s="877"/>
      <c r="K44" s="877"/>
    </row>
    <row r="45" spans="1:18" ht="15" customHeight="1" thickBot="1" x14ac:dyDescent="0.25">
      <c r="A45" s="911" t="s">
        <v>346</v>
      </c>
      <c r="B45" s="912" t="s">
        <v>339</v>
      </c>
      <c r="C45" s="913"/>
      <c r="D45" s="913"/>
      <c r="E45" s="913"/>
      <c r="F45" s="913"/>
      <c r="G45" s="914">
        <f>G20</f>
        <v>267.89999999999998</v>
      </c>
      <c r="H45" s="915"/>
      <c r="J45" s="877"/>
      <c r="K45" s="877"/>
    </row>
    <row r="46" spans="1:18" ht="13.5" customHeight="1" thickTop="1" x14ac:dyDescent="0.2">
      <c r="A46" s="869"/>
      <c r="C46" s="916"/>
      <c r="E46" s="916"/>
      <c r="G46" s="916"/>
      <c r="H46" s="870"/>
      <c r="J46" s="917"/>
      <c r="K46" s="877"/>
    </row>
    <row r="47" spans="1:18" s="919" customFormat="1" ht="15" customHeight="1" x14ac:dyDescent="0.2">
      <c r="A47" s="918" t="s">
        <v>342</v>
      </c>
      <c r="B47" s="919" t="s">
        <v>343</v>
      </c>
      <c r="C47" s="920"/>
      <c r="E47" s="921" t="s">
        <v>344</v>
      </c>
      <c r="F47" s="921" t="s">
        <v>193</v>
      </c>
      <c r="G47" s="921"/>
      <c r="H47" s="895"/>
      <c r="J47" s="922"/>
      <c r="K47" s="923"/>
      <c r="L47" s="924"/>
      <c r="R47" s="925"/>
    </row>
    <row r="48" spans="1:18" ht="15" customHeight="1" x14ac:dyDescent="0.2">
      <c r="A48" s="918"/>
      <c r="B48" s="919"/>
      <c r="C48" s="921"/>
      <c r="E48" s="921"/>
      <c r="F48" s="921" t="s">
        <v>193</v>
      </c>
      <c r="G48" s="921"/>
      <c r="H48" s="870"/>
      <c r="J48" s="877"/>
      <c r="K48" s="877"/>
    </row>
    <row r="49" spans="1:18" s="930" customFormat="1" ht="15" customHeight="1" x14ac:dyDescent="0.2">
      <c r="A49" s="926" t="s">
        <v>341</v>
      </c>
      <c r="B49" s="927"/>
      <c r="C49" s="928"/>
      <c r="D49" s="928"/>
      <c r="E49" s="928"/>
      <c r="F49" s="928"/>
      <c r="G49" s="928"/>
      <c r="H49" s="929"/>
      <c r="J49" s="934"/>
      <c r="K49" s="931"/>
      <c r="L49" s="932"/>
      <c r="R49" s="933"/>
    </row>
    <row r="50" spans="1:18" s="919" customFormat="1" ht="15" customHeight="1" thickBot="1" x14ac:dyDescent="0.25">
      <c r="A50" s="1062" t="s">
        <v>345</v>
      </c>
      <c r="B50" s="1063"/>
      <c r="C50" s="1063"/>
      <c r="D50" s="1063"/>
      <c r="E50" s="1063"/>
      <c r="F50" s="1063"/>
      <c r="G50" s="1063"/>
      <c r="H50" s="1064"/>
      <c r="J50" s="923"/>
      <c r="K50" s="923"/>
      <c r="L50" s="924"/>
      <c r="R50" s="925"/>
    </row>
    <row r="59" spans="1:18" ht="15" customHeight="1" x14ac:dyDescent="0.2">
      <c r="J59" s="935"/>
      <c r="K59" s="935"/>
    </row>
  </sheetData>
  <mergeCells count="4">
    <mergeCell ref="A8:B8"/>
    <mergeCell ref="D8:F8"/>
    <mergeCell ref="G8:H8"/>
    <mergeCell ref="A50:H5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59"/>
  <sheetViews>
    <sheetView topLeftCell="A37" zoomScale="110" zoomScaleNormal="110" workbookViewId="0">
      <selection activeCell="I47" sqref="I47"/>
    </sheetView>
  </sheetViews>
  <sheetFormatPr defaultColWidth="9.140625" defaultRowHeight="15" customHeight="1" x14ac:dyDescent="0.2"/>
  <cols>
    <col min="1" max="1" width="39.140625" style="823" customWidth="1"/>
    <col min="2" max="2" width="12" style="823" customWidth="1"/>
    <col min="3" max="3" width="12.7109375" style="823" customWidth="1"/>
    <col min="4" max="4" width="1.7109375" style="823" customWidth="1"/>
    <col min="5" max="5" width="10.85546875" style="823" customWidth="1"/>
    <col min="6" max="6" width="11.85546875" style="823" hidden="1" customWidth="1"/>
    <col min="7" max="7" width="13.42578125" style="823" customWidth="1"/>
    <col min="8" max="8" width="2.42578125" style="823" customWidth="1"/>
    <col min="9" max="9" width="18.7109375" style="823" bestFit="1" customWidth="1"/>
    <col min="10" max="10" width="17.5703125" style="866" customWidth="1"/>
    <col min="11" max="11" width="14.42578125" style="866" customWidth="1"/>
    <col min="12" max="12" width="12.7109375" style="867" customWidth="1"/>
    <col min="13" max="13" width="15.5703125" style="823" customWidth="1"/>
    <col min="14" max="14" width="10" style="823" customWidth="1"/>
    <col min="15" max="15" width="16.140625" style="823" bestFit="1" customWidth="1"/>
    <col min="16" max="17" width="7.85546875" style="823" bestFit="1" customWidth="1"/>
    <col min="18" max="18" width="9.5703125" style="868" bestFit="1" customWidth="1"/>
    <col min="19" max="19" width="16.5703125" style="823" customWidth="1"/>
    <col min="20" max="20" width="12.28515625" style="823" customWidth="1"/>
    <col min="21" max="21" width="12.5703125" style="823" customWidth="1"/>
    <col min="22" max="22" width="9.140625" style="823"/>
    <col min="23" max="23" width="16.42578125" style="823" customWidth="1"/>
    <col min="24" max="24" width="17.5703125" style="823" customWidth="1"/>
    <col min="25" max="25" width="16" style="823" customWidth="1"/>
    <col min="26" max="26" width="15" style="823" customWidth="1"/>
    <col min="27" max="27" width="14.28515625" style="823" bestFit="1" customWidth="1"/>
    <col min="28" max="29" width="14.140625" style="823" customWidth="1"/>
    <col min="30" max="16384" width="9.140625" style="823"/>
  </cols>
  <sheetData>
    <row r="1" spans="1:19" ht="15" customHeight="1" thickBot="1" x14ac:dyDescent="0.25"/>
    <row r="2" spans="1:19" ht="15" customHeight="1" x14ac:dyDescent="0.2">
      <c r="A2" s="863"/>
      <c r="B2" s="864"/>
      <c r="C2" s="864"/>
      <c r="D2" s="864"/>
      <c r="E2" s="864"/>
      <c r="F2" s="864"/>
      <c r="G2" s="864"/>
      <c r="H2" s="865"/>
    </row>
    <row r="3" spans="1:19" ht="15" customHeight="1" x14ac:dyDescent="0.2">
      <c r="A3" s="869"/>
      <c r="H3" s="870"/>
    </row>
    <row r="4" spans="1:19" ht="15" customHeight="1" x14ac:dyDescent="0.2">
      <c r="A4" s="869"/>
      <c r="H4" s="870"/>
    </row>
    <row r="5" spans="1:19" ht="15" customHeight="1" x14ac:dyDescent="0.2">
      <c r="A5" s="871" t="s">
        <v>60</v>
      </c>
      <c r="H5" s="870"/>
    </row>
    <row r="6" spans="1:19" ht="15" customHeight="1" x14ac:dyDescent="0.2">
      <c r="A6" s="872" t="s">
        <v>363</v>
      </c>
      <c r="H6" s="870"/>
    </row>
    <row r="7" spans="1:19" ht="15" hidden="1" customHeight="1" x14ac:dyDescent="0.2">
      <c r="A7" s="873"/>
      <c r="H7" s="870"/>
    </row>
    <row r="8" spans="1:19" ht="15" customHeight="1" x14ac:dyDescent="0.2">
      <c r="A8" s="1056" t="s">
        <v>318</v>
      </c>
      <c r="B8" s="1057"/>
      <c r="C8" s="937" t="s">
        <v>6</v>
      </c>
      <c r="D8" s="1058" t="s">
        <v>47</v>
      </c>
      <c r="E8" s="1059"/>
      <c r="F8" s="1060"/>
      <c r="G8" s="1058" t="s">
        <v>13</v>
      </c>
      <c r="H8" s="1061"/>
    </row>
    <row r="9" spans="1:19" ht="15" customHeight="1" x14ac:dyDescent="0.2">
      <c r="A9" s="871" t="s">
        <v>149</v>
      </c>
      <c r="H9" s="870"/>
    </row>
    <row r="10" spans="1:19" ht="15" customHeight="1" x14ac:dyDescent="0.2">
      <c r="A10" s="869" t="s">
        <v>150</v>
      </c>
      <c r="B10" s="823" t="s">
        <v>338</v>
      </c>
      <c r="C10" s="821">
        <v>13.1332</v>
      </c>
      <c r="D10" s="874"/>
      <c r="E10" s="821">
        <v>13.1332</v>
      </c>
      <c r="F10" s="821"/>
      <c r="G10" s="821">
        <v>13.1332</v>
      </c>
      <c r="H10" s="875"/>
      <c r="I10" s="876"/>
      <c r="J10" s="877"/>
      <c r="K10" s="877"/>
      <c r="Q10" s="878"/>
      <c r="R10" s="879"/>
    </row>
    <row r="11" spans="1:19" ht="15" customHeight="1" x14ac:dyDescent="0.2">
      <c r="A11" s="869" t="s">
        <v>347</v>
      </c>
      <c r="B11" s="823" t="s">
        <v>338</v>
      </c>
      <c r="C11" s="821">
        <v>5.3800000000000001E-2</v>
      </c>
      <c r="D11" s="874"/>
      <c r="E11" s="821">
        <v>5.3800000000000001E-2</v>
      </c>
      <c r="F11" s="821"/>
      <c r="G11" s="821">
        <v>5.3800000000000001E-2</v>
      </c>
      <c r="H11" s="875"/>
      <c r="I11" s="876"/>
      <c r="J11" s="877"/>
      <c r="K11" s="877"/>
      <c r="Q11" s="821"/>
    </row>
    <row r="12" spans="1:19" ht="15" customHeight="1" x14ac:dyDescent="0.2">
      <c r="A12" s="869" t="s">
        <v>348</v>
      </c>
      <c r="B12" s="823" t="s">
        <v>338</v>
      </c>
      <c r="C12" s="821">
        <v>-2.5999999999999999E-3</v>
      </c>
      <c r="D12" s="874"/>
      <c r="E12" s="821">
        <v>-2.5999999999999999E-3</v>
      </c>
      <c r="F12" s="821"/>
      <c r="G12" s="821">
        <v>-2.5999999999999999E-3</v>
      </c>
      <c r="H12" s="875"/>
      <c r="I12" s="876"/>
      <c r="J12" s="877"/>
      <c r="K12" s="877"/>
      <c r="P12" s="821"/>
      <c r="Q12" s="821"/>
      <c r="S12" s="880"/>
    </row>
    <row r="13" spans="1:19" ht="15" customHeight="1" x14ac:dyDescent="0.2">
      <c r="A13" s="869" t="s">
        <v>350</v>
      </c>
      <c r="B13" s="823" t="s">
        <v>338</v>
      </c>
      <c r="C13" s="821">
        <v>0.22600000000000001</v>
      </c>
      <c r="D13" s="874"/>
      <c r="E13" s="821">
        <v>0.22600000000000001</v>
      </c>
      <c r="F13" s="821"/>
      <c r="G13" s="821">
        <v>0.22600000000000001</v>
      </c>
      <c r="H13" s="875"/>
      <c r="I13" s="876"/>
      <c r="J13" s="877"/>
      <c r="K13" s="877"/>
      <c r="Q13" s="821"/>
      <c r="R13" s="881"/>
      <c r="S13" s="881"/>
    </row>
    <row r="14" spans="1:19" ht="15" customHeight="1" x14ac:dyDescent="0.2">
      <c r="A14" s="869" t="s">
        <v>349</v>
      </c>
      <c r="B14" s="823" t="s">
        <v>338</v>
      </c>
      <c r="C14" s="821">
        <v>-1.2E-2</v>
      </c>
      <c r="D14" s="874"/>
      <c r="E14" s="821">
        <v>-1.2E-2</v>
      </c>
      <c r="F14" s="821"/>
      <c r="G14" s="821">
        <v>-1.2E-2</v>
      </c>
      <c r="H14" s="875"/>
      <c r="I14" s="876"/>
      <c r="J14" s="877"/>
      <c r="K14" s="877"/>
      <c r="Q14" s="821"/>
      <c r="R14" s="881"/>
      <c r="S14" s="881"/>
    </row>
    <row r="15" spans="1:19" ht="15" customHeight="1" x14ac:dyDescent="0.2">
      <c r="A15" s="871" t="s">
        <v>156</v>
      </c>
      <c r="C15" s="822"/>
      <c r="D15" s="822"/>
      <c r="E15" s="822"/>
      <c r="F15" s="822"/>
      <c r="G15" s="822"/>
      <c r="H15" s="882"/>
      <c r="P15" s="883"/>
      <c r="Q15" s="884"/>
      <c r="R15" s="885"/>
    </row>
    <row r="16" spans="1:19" ht="15" customHeight="1" x14ac:dyDescent="0.2">
      <c r="A16" s="869" t="s">
        <v>157</v>
      </c>
      <c r="B16" s="823" t="s">
        <v>339</v>
      </c>
      <c r="C16" s="821"/>
      <c r="D16" s="821"/>
      <c r="E16" s="821"/>
      <c r="F16" s="821"/>
      <c r="G16" s="821">
        <v>191.2157</v>
      </c>
      <c r="H16" s="882"/>
      <c r="J16" s="877"/>
      <c r="K16" s="877"/>
    </row>
    <row r="17" spans="1:13" ht="15" customHeight="1" x14ac:dyDescent="0.2">
      <c r="A17" s="869" t="s">
        <v>159</v>
      </c>
      <c r="B17" s="823" t="s">
        <v>338</v>
      </c>
      <c r="C17" s="898">
        <v>0.73529999999999995</v>
      </c>
      <c r="D17" s="821"/>
      <c r="E17" s="821">
        <v>0.73529999999999995</v>
      </c>
      <c r="F17" s="821"/>
      <c r="G17" s="821"/>
      <c r="H17" s="882"/>
      <c r="J17" s="877"/>
      <c r="K17" s="877"/>
    </row>
    <row r="18" spans="1:13" ht="15" customHeight="1" x14ac:dyDescent="0.2">
      <c r="A18" s="871" t="s">
        <v>160</v>
      </c>
      <c r="B18" s="823" t="s">
        <v>338</v>
      </c>
      <c r="C18" s="821">
        <v>1.5951</v>
      </c>
      <c r="D18" s="821"/>
      <c r="E18" s="821">
        <v>1.5951</v>
      </c>
      <c r="F18" s="821"/>
      <c r="G18" s="821">
        <v>1.5951</v>
      </c>
      <c r="H18" s="882"/>
      <c r="J18" s="877"/>
      <c r="K18" s="877"/>
    </row>
    <row r="19" spans="1:13" ht="15" customHeight="1" x14ac:dyDescent="0.2">
      <c r="A19" s="871" t="s">
        <v>161</v>
      </c>
      <c r="C19" s="821"/>
      <c r="D19" s="821"/>
      <c r="E19" s="821"/>
      <c r="F19" s="821"/>
      <c r="G19" s="821"/>
      <c r="H19" s="875"/>
    </row>
    <row r="20" spans="1:13" ht="15" customHeight="1" x14ac:dyDescent="0.2">
      <c r="A20" s="869" t="s">
        <v>162</v>
      </c>
      <c r="B20" s="823" t="s">
        <v>339</v>
      </c>
      <c r="C20" s="821"/>
      <c r="D20" s="821"/>
      <c r="E20" s="821"/>
      <c r="F20" s="821"/>
      <c r="G20" s="824">
        <v>267.89999999999998</v>
      </c>
      <c r="H20" s="875"/>
      <c r="J20" s="877"/>
      <c r="K20" s="877"/>
    </row>
    <row r="21" spans="1:13" ht="15" customHeight="1" x14ac:dyDescent="0.2">
      <c r="A21" s="869" t="s">
        <v>163</v>
      </c>
      <c r="B21" s="823" t="s">
        <v>338</v>
      </c>
      <c r="C21" s="821">
        <v>0.84489999999999998</v>
      </c>
      <c r="D21" s="886"/>
      <c r="E21" s="887">
        <v>0.92589999999999995</v>
      </c>
      <c r="F21" s="821"/>
      <c r="G21" s="821"/>
      <c r="H21" s="875"/>
      <c r="J21" s="877"/>
      <c r="K21" s="877"/>
      <c r="M21" s="821"/>
    </row>
    <row r="22" spans="1:13" ht="15" customHeight="1" x14ac:dyDescent="0.2">
      <c r="A22" s="871" t="s">
        <v>164</v>
      </c>
      <c r="C22" s="821"/>
      <c r="D22" s="886"/>
      <c r="E22" s="821"/>
      <c r="F22" s="821"/>
      <c r="G22" s="821"/>
      <c r="H22" s="875"/>
    </row>
    <row r="23" spans="1:13" ht="15" customHeight="1" x14ac:dyDescent="0.2">
      <c r="A23" s="869" t="s">
        <v>334</v>
      </c>
      <c r="B23" s="823" t="s">
        <v>166</v>
      </c>
      <c r="C23" s="821"/>
      <c r="D23" s="886"/>
      <c r="E23" s="888">
        <v>40.15</v>
      </c>
      <c r="F23" s="824"/>
      <c r="G23" s="888">
        <v>40.15</v>
      </c>
      <c r="H23" s="875"/>
      <c r="J23" s="877"/>
      <c r="K23" s="877"/>
      <c r="M23" s="821"/>
    </row>
    <row r="24" spans="1:13" ht="15" customHeight="1" x14ac:dyDescent="0.2">
      <c r="A24" s="869" t="s">
        <v>167</v>
      </c>
      <c r="B24" s="823" t="s">
        <v>338</v>
      </c>
      <c r="C24" s="821">
        <v>0.7732</v>
      </c>
      <c r="D24" s="886"/>
      <c r="E24" s="821"/>
      <c r="F24" s="821"/>
      <c r="G24" s="821"/>
      <c r="H24" s="875"/>
      <c r="J24" s="877"/>
      <c r="K24" s="877"/>
    </row>
    <row r="25" spans="1:13" ht="15" customHeight="1" x14ac:dyDescent="0.2">
      <c r="A25" s="871" t="s">
        <v>168</v>
      </c>
      <c r="D25" s="886"/>
      <c r="E25" s="821"/>
      <c r="F25" s="821"/>
      <c r="G25" s="821"/>
      <c r="H25" s="875"/>
      <c r="I25" s="821"/>
    </row>
    <row r="26" spans="1:13" ht="15" customHeight="1" x14ac:dyDescent="0.2">
      <c r="A26" s="869" t="s">
        <v>221</v>
      </c>
      <c r="B26" s="823" t="s">
        <v>170</v>
      </c>
      <c r="C26" s="824">
        <v>5</v>
      </c>
      <c r="D26" s="886"/>
      <c r="E26" s="888">
        <v>28.72</v>
      </c>
      <c r="F26" s="824"/>
      <c r="G26" s="888">
        <v>28.72</v>
      </c>
      <c r="H26" s="875"/>
      <c r="J26" s="877"/>
      <c r="K26" s="877"/>
    </row>
    <row r="27" spans="1:13" ht="15" customHeight="1" x14ac:dyDescent="0.2">
      <c r="A27" s="869" t="s">
        <v>171</v>
      </c>
      <c r="B27" s="823" t="s">
        <v>338</v>
      </c>
      <c r="C27" s="821">
        <v>0.45689999999999997</v>
      </c>
      <c r="D27" s="821"/>
      <c r="E27" s="821"/>
      <c r="F27" s="821"/>
      <c r="G27" s="821"/>
      <c r="H27" s="875"/>
      <c r="J27" s="877"/>
      <c r="K27" s="877"/>
    </row>
    <row r="28" spans="1:13" ht="15" customHeight="1" x14ac:dyDescent="0.2">
      <c r="A28" s="889" t="s">
        <v>268</v>
      </c>
      <c r="B28" s="890" t="s">
        <v>338</v>
      </c>
      <c r="C28" s="825">
        <v>0.12720000000000001</v>
      </c>
      <c r="D28" s="891"/>
      <c r="E28" s="892">
        <v>0.12720000000000001</v>
      </c>
      <c r="F28" s="891"/>
      <c r="G28" s="892">
        <v>0.12720000000000001</v>
      </c>
      <c r="H28" s="882"/>
      <c r="J28" s="877"/>
      <c r="K28" s="877"/>
    </row>
    <row r="29" spans="1:13" ht="15" customHeight="1" x14ac:dyDescent="0.2">
      <c r="A29" s="893" t="s">
        <v>269</v>
      </c>
      <c r="B29" s="823" t="s">
        <v>338</v>
      </c>
      <c r="C29" s="826">
        <v>8.0000000000000004E-4</v>
      </c>
      <c r="D29" s="894"/>
      <c r="E29" s="826">
        <v>8.0000000000000004E-4</v>
      </c>
      <c r="F29" s="894"/>
      <c r="G29" s="826">
        <v>8.0000000000000004E-4</v>
      </c>
      <c r="H29" s="882"/>
      <c r="I29" s="883"/>
      <c r="J29" s="877"/>
      <c r="K29" s="877"/>
    </row>
    <row r="30" spans="1:13" ht="16.5" customHeight="1" x14ac:dyDescent="0.2">
      <c r="A30" s="871" t="s">
        <v>174</v>
      </c>
      <c r="C30" s="821"/>
      <c r="D30" s="821"/>
      <c r="E30" s="821"/>
      <c r="F30" s="821"/>
      <c r="G30" s="821"/>
      <c r="H30" s="875"/>
    </row>
    <row r="31" spans="1:13" ht="15" customHeight="1" x14ac:dyDescent="0.2">
      <c r="A31" s="869" t="s">
        <v>175</v>
      </c>
      <c r="B31" s="823" t="s">
        <v>338</v>
      </c>
      <c r="C31" s="821">
        <v>0.17829999999999999</v>
      </c>
      <c r="D31" s="821"/>
      <c r="E31" s="821">
        <v>0.17829999999999999</v>
      </c>
      <c r="F31" s="821"/>
      <c r="G31" s="821">
        <v>0.17829999999999999</v>
      </c>
      <c r="H31" s="895"/>
      <c r="J31" s="877"/>
      <c r="K31" s="877"/>
    </row>
    <row r="32" spans="1:13" ht="15" customHeight="1" x14ac:dyDescent="0.2">
      <c r="A32" s="869" t="s">
        <v>176</v>
      </c>
      <c r="B32" s="823" t="s">
        <v>338</v>
      </c>
      <c r="C32" s="821"/>
      <c r="D32" s="821"/>
      <c r="E32" s="821"/>
      <c r="F32" s="821"/>
      <c r="G32" s="887"/>
      <c r="H32" s="875"/>
      <c r="I32" s="821"/>
      <c r="J32" s="877"/>
      <c r="K32" s="877"/>
    </row>
    <row r="33" spans="1:18" ht="15" customHeight="1" x14ac:dyDescent="0.2">
      <c r="A33" s="869" t="s">
        <v>200</v>
      </c>
      <c r="B33" s="823" t="s">
        <v>338</v>
      </c>
      <c r="C33" s="821"/>
      <c r="D33" s="821"/>
      <c r="E33" s="821"/>
      <c r="F33" s="821"/>
      <c r="G33" s="887"/>
      <c r="H33" s="875"/>
      <c r="I33" s="821"/>
      <c r="J33" s="877"/>
      <c r="K33" s="877"/>
    </row>
    <row r="34" spans="1:18" ht="15" customHeight="1" x14ac:dyDescent="0.2">
      <c r="A34" s="869" t="s">
        <v>337</v>
      </c>
      <c r="B34" s="823" t="s">
        <v>338</v>
      </c>
      <c r="C34" s="821">
        <v>1.6999999999999999E-3</v>
      </c>
      <c r="D34" s="821"/>
      <c r="E34" s="821">
        <v>1.6999999999999999E-3</v>
      </c>
      <c r="F34" s="821"/>
      <c r="G34" s="887">
        <v>1.6999999999999999E-3</v>
      </c>
      <c r="H34" s="895"/>
      <c r="J34" s="877"/>
      <c r="K34" s="877"/>
      <c r="O34" s="896"/>
      <c r="P34" s="896"/>
      <c r="Q34" s="896"/>
    </row>
    <row r="35" spans="1:18" ht="15" customHeight="1" x14ac:dyDescent="0.2">
      <c r="A35" s="869" t="s">
        <v>340</v>
      </c>
      <c r="B35" s="823" t="s">
        <v>338</v>
      </c>
      <c r="C35" s="821">
        <v>4.2799999999999998E-2</v>
      </c>
      <c r="D35" s="821"/>
      <c r="E35" s="821">
        <v>4.2799999999999998E-2</v>
      </c>
      <c r="F35" s="821"/>
      <c r="G35" s="887">
        <v>4.2799999999999998E-2</v>
      </c>
      <c r="H35" s="895"/>
      <c r="I35" s="821"/>
      <c r="J35" s="877"/>
      <c r="K35" s="877"/>
    </row>
    <row r="36" spans="1:18" ht="15" customHeight="1" x14ac:dyDescent="0.2">
      <c r="A36" s="893" t="s">
        <v>335</v>
      </c>
      <c r="B36" s="823" t="s">
        <v>338</v>
      </c>
      <c r="C36" s="827">
        <v>9.8299999999999998E-2</v>
      </c>
      <c r="D36" s="891"/>
      <c r="E36" s="827">
        <v>9.8299999999999998E-2</v>
      </c>
      <c r="F36" s="891"/>
      <c r="G36" s="827">
        <v>9.8299999999999998E-2</v>
      </c>
      <c r="H36" s="895"/>
      <c r="J36" s="877"/>
      <c r="K36" s="877"/>
    </row>
    <row r="37" spans="1:18" ht="15" customHeight="1" x14ac:dyDescent="0.2">
      <c r="A37" s="871" t="s">
        <v>182</v>
      </c>
      <c r="C37" s="821"/>
      <c r="D37" s="821"/>
      <c r="E37" s="887"/>
      <c r="F37" s="821"/>
      <c r="G37" s="887"/>
      <c r="H37" s="895"/>
    </row>
    <row r="38" spans="1:18" ht="15" customHeight="1" x14ac:dyDescent="0.2">
      <c r="A38" s="869" t="s">
        <v>211</v>
      </c>
      <c r="B38" s="823" t="s">
        <v>338</v>
      </c>
      <c r="C38" s="821">
        <v>1.6213</v>
      </c>
      <c r="D38" s="821"/>
      <c r="E38" s="821">
        <v>1.6213</v>
      </c>
      <c r="F38" s="821"/>
      <c r="G38" s="887">
        <v>1.6213</v>
      </c>
      <c r="H38" s="895"/>
      <c r="J38" s="877"/>
      <c r="K38" s="877"/>
      <c r="M38" s="897"/>
    </row>
    <row r="39" spans="1:18" ht="15" customHeight="1" x14ac:dyDescent="0.2">
      <c r="A39" s="869" t="s">
        <v>212</v>
      </c>
      <c r="B39" s="823" t="s">
        <v>338</v>
      </c>
      <c r="C39" s="821">
        <v>8.8099999999999998E-2</v>
      </c>
      <c r="D39" s="821"/>
      <c r="E39" s="821">
        <v>8.8099999999999998E-2</v>
      </c>
      <c r="F39" s="821"/>
      <c r="G39" s="887">
        <v>8.8099999999999998E-2</v>
      </c>
      <c r="H39" s="895"/>
      <c r="J39" s="877"/>
      <c r="K39" s="877"/>
      <c r="M39" s="897"/>
    </row>
    <row r="40" spans="1:18" ht="15" customHeight="1" x14ac:dyDescent="0.2">
      <c r="A40" s="869" t="s">
        <v>213</v>
      </c>
      <c r="B40" s="823" t="s">
        <v>338</v>
      </c>
      <c r="C40" s="821">
        <v>0.18990000000000001</v>
      </c>
      <c r="D40" s="821"/>
      <c r="E40" s="821">
        <v>0.18990000000000001</v>
      </c>
      <c r="F40" s="821"/>
      <c r="G40" s="887">
        <v>0.18990000000000001</v>
      </c>
      <c r="H40" s="895"/>
      <c r="J40" s="877"/>
      <c r="K40" s="877"/>
      <c r="M40" s="897"/>
    </row>
    <row r="41" spans="1:18" ht="15" customHeight="1" x14ac:dyDescent="0.2">
      <c r="A41" s="869" t="s">
        <v>214</v>
      </c>
      <c r="B41" s="823" t="s">
        <v>338</v>
      </c>
      <c r="C41" s="821">
        <v>0.26440000000000002</v>
      </c>
      <c r="D41" s="821"/>
      <c r="E41" s="821">
        <v>0.1265</v>
      </c>
      <c r="F41" s="821"/>
      <c r="G41" s="887">
        <v>1.54E-2</v>
      </c>
      <c r="H41" s="895"/>
      <c r="J41" s="877"/>
      <c r="K41" s="877"/>
      <c r="L41" s="898"/>
      <c r="M41" s="897"/>
    </row>
    <row r="42" spans="1:18" ht="15" customHeight="1" x14ac:dyDescent="0.2">
      <c r="A42" s="899" t="s">
        <v>177</v>
      </c>
      <c r="B42" s="900" t="s">
        <v>338</v>
      </c>
      <c r="C42" s="828">
        <v>0.40039999999999998</v>
      </c>
      <c r="D42" s="828"/>
      <c r="E42" s="828">
        <v>0.40039999999999998</v>
      </c>
      <c r="F42" s="828"/>
      <c r="G42" s="901">
        <v>0.40039999999999998</v>
      </c>
      <c r="H42" s="902"/>
      <c r="J42" s="877"/>
      <c r="K42" s="877"/>
    </row>
    <row r="43" spans="1:18" ht="15" customHeight="1" thickBot="1" x14ac:dyDescent="0.25">
      <c r="A43" s="936" t="s">
        <v>178</v>
      </c>
      <c r="B43" s="903"/>
      <c r="C43" s="904">
        <f>13.1332+0.0538-0.0026+0.226-0.012+0.7353+1.5951+0.8449+0.7732+0.4569+0.1272+0.0008+0.1783+0.0017+0.0428+0.0983+1.6213+0.0881+0.1899+0.2644+0.4004</f>
        <v>20.817000000000004</v>
      </c>
      <c r="D43" s="905"/>
      <c r="E43" s="904">
        <f>13.1332+0.0538-0.0026+0.226-0.012+0.7353+1.5951+0.9259+0.1272+0.0008+0.1783+0.0017+0.0428+0.0983+1.6213+0.0881+0.1899+0.1265+0.4004</f>
        <v>19.530000000000005</v>
      </c>
      <c r="F43" s="903"/>
      <c r="G43" s="904">
        <f>13.1332+0.0538-0.0026+0.226-0.012+1.5951+0.1272+0.0008+0.1783+0.0017+0.0428+0.0983+1.6213+0.0881+0.1899+0.0154+0.4004</f>
        <v>17.757700000000007</v>
      </c>
      <c r="H43" s="882"/>
      <c r="J43" s="906"/>
      <c r="K43" s="906"/>
      <c r="L43" s="904"/>
    </row>
    <row r="44" spans="1:18" ht="15" customHeight="1" thickTop="1" x14ac:dyDescent="0.2">
      <c r="A44" s="907" t="s">
        <v>179</v>
      </c>
      <c r="B44" s="908" t="s">
        <v>166</v>
      </c>
      <c r="C44" s="909">
        <f>C26</f>
        <v>5</v>
      </c>
      <c r="D44" s="909"/>
      <c r="E44" s="909">
        <f>E23+E26</f>
        <v>68.87</v>
      </c>
      <c r="F44" s="909"/>
      <c r="G44" s="909">
        <f>G23+G26</f>
        <v>68.87</v>
      </c>
      <c r="H44" s="910"/>
      <c r="J44" s="877"/>
      <c r="K44" s="877"/>
    </row>
    <row r="45" spans="1:18" ht="15" customHeight="1" thickBot="1" x14ac:dyDescent="0.25">
      <c r="A45" s="911" t="s">
        <v>346</v>
      </c>
      <c r="B45" s="912" t="s">
        <v>339</v>
      </c>
      <c r="C45" s="913"/>
      <c r="D45" s="913"/>
      <c r="E45" s="913"/>
      <c r="F45" s="913"/>
      <c r="G45" s="914">
        <f>G20</f>
        <v>267.89999999999998</v>
      </c>
      <c r="H45" s="915"/>
      <c r="J45" s="877"/>
      <c r="K45" s="877"/>
    </row>
    <row r="46" spans="1:18" ht="13.5" customHeight="1" thickTop="1" x14ac:dyDescent="0.2">
      <c r="A46" s="869"/>
      <c r="C46" s="916"/>
      <c r="E46" s="916"/>
      <c r="G46" s="916"/>
      <c r="H46" s="870"/>
      <c r="J46" s="917"/>
      <c r="K46" s="877"/>
    </row>
    <row r="47" spans="1:18" s="919" customFormat="1" ht="15" customHeight="1" x14ac:dyDescent="0.2">
      <c r="A47" s="918" t="s">
        <v>342</v>
      </c>
      <c r="B47" s="919" t="s">
        <v>343</v>
      </c>
      <c r="C47" s="920"/>
      <c r="E47" s="921" t="s">
        <v>344</v>
      </c>
      <c r="F47" s="921" t="s">
        <v>193</v>
      </c>
      <c r="G47" s="921"/>
      <c r="H47" s="895"/>
      <c r="J47" s="922"/>
      <c r="K47" s="922"/>
      <c r="L47" s="924"/>
      <c r="R47" s="925"/>
    </row>
    <row r="48" spans="1:18" ht="15" customHeight="1" x14ac:dyDescent="0.2">
      <c r="A48" s="918"/>
      <c r="B48" s="919"/>
      <c r="C48" s="921"/>
      <c r="E48" s="921"/>
      <c r="F48" s="921" t="s">
        <v>193</v>
      </c>
      <c r="G48" s="921"/>
      <c r="H48" s="870"/>
      <c r="J48" s="877"/>
      <c r="K48" s="877"/>
    </row>
    <row r="49" spans="1:18" s="930" customFormat="1" ht="15" customHeight="1" x14ac:dyDescent="0.2">
      <c r="A49" s="926" t="s">
        <v>341</v>
      </c>
      <c r="B49" s="927"/>
      <c r="C49" s="928"/>
      <c r="D49" s="928"/>
      <c r="E49" s="928"/>
      <c r="F49" s="928"/>
      <c r="G49" s="928"/>
      <c r="H49" s="929"/>
      <c r="J49" s="934"/>
      <c r="K49" s="931"/>
      <c r="L49" s="932"/>
      <c r="R49" s="933"/>
    </row>
    <row r="50" spans="1:18" s="919" customFormat="1" ht="15" customHeight="1" thickBot="1" x14ac:dyDescent="0.25">
      <c r="A50" s="1062" t="s">
        <v>345</v>
      </c>
      <c r="B50" s="1063"/>
      <c r="C50" s="1063"/>
      <c r="D50" s="1063"/>
      <c r="E50" s="1063"/>
      <c r="F50" s="1063"/>
      <c r="G50" s="1063"/>
      <c r="H50" s="1064"/>
      <c r="J50" s="923"/>
      <c r="K50" s="923"/>
      <c r="L50" s="924"/>
      <c r="R50" s="925"/>
    </row>
    <row r="53" spans="1:18" ht="15" customHeight="1" x14ac:dyDescent="0.2">
      <c r="C53" s="821"/>
    </row>
    <row r="59" spans="1:18" ht="15" customHeight="1" x14ac:dyDescent="0.2">
      <c r="J59" s="935"/>
      <c r="K59" s="935"/>
    </row>
  </sheetData>
  <mergeCells count="4">
    <mergeCell ref="A8:B8"/>
    <mergeCell ref="D8:F8"/>
    <mergeCell ref="G8:H8"/>
    <mergeCell ref="A50:H50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127E6-9CAF-4411-8FE0-394A7880C779}">
  <dimension ref="A1:S59"/>
  <sheetViews>
    <sheetView topLeftCell="A31" workbookViewId="0">
      <selection activeCell="J51" sqref="J51"/>
    </sheetView>
  </sheetViews>
  <sheetFormatPr defaultColWidth="9.140625" defaultRowHeight="15" customHeight="1" x14ac:dyDescent="0.2"/>
  <cols>
    <col min="1" max="1" width="39.140625" style="772" customWidth="1"/>
    <col min="2" max="2" width="12" style="772" customWidth="1"/>
    <col min="3" max="3" width="12.7109375" style="772" customWidth="1"/>
    <col min="4" max="4" width="1.7109375" style="772" customWidth="1"/>
    <col min="5" max="5" width="10.85546875" style="772" customWidth="1"/>
    <col min="6" max="6" width="11.85546875" style="772" hidden="1" customWidth="1"/>
    <col min="7" max="7" width="13.42578125" style="772" customWidth="1"/>
    <col min="8" max="8" width="2.42578125" style="772" customWidth="1"/>
    <col min="9" max="9" width="18.7109375" style="772" bestFit="1" customWidth="1"/>
    <col min="10" max="10" width="17.5703125" style="831" customWidth="1"/>
    <col min="11" max="11" width="14.42578125" style="831" customWidth="1"/>
    <col min="12" max="12" width="12.7109375" style="832" customWidth="1"/>
    <col min="13" max="13" width="15.5703125" style="772" customWidth="1"/>
    <col min="14" max="14" width="10" style="772" customWidth="1"/>
    <col min="15" max="15" width="16.140625" style="772" bestFit="1" customWidth="1"/>
    <col min="16" max="17" width="7.85546875" style="772" bestFit="1" customWidth="1"/>
    <col min="18" max="18" width="9.5703125" style="833" bestFit="1" customWidth="1"/>
    <col min="19" max="19" width="16.5703125" style="772" customWidth="1"/>
    <col min="20" max="20" width="12.28515625" style="772" customWidth="1"/>
    <col min="21" max="21" width="12.5703125" style="772" customWidth="1"/>
    <col min="22" max="22" width="9.140625" style="772"/>
    <col min="23" max="23" width="16.42578125" style="772" customWidth="1"/>
    <col min="24" max="24" width="17.5703125" style="772" customWidth="1"/>
    <col min="25" max="25" width="16" style="772" customWidth="1"/>
    <col min="26" max="26" width="15" style="772" customWidth="1"/>
    <col min="27" max="27" width="14.28515625" style="772" bestFit="1" customWidth="1"/>
    <col min="28" max="29" width="14.140625" style="772" customWidth="1"/>
    <col min="30" max="16384" width="9.140625" style="772"/>
  </cols>
  <sheetData>
    <row r="1" spans="1:19" ht="15" customHeight="1" thickBot="1" x14ac:dyDescent="0.25"/>
    <row r="2" spans="1:19" ht="15" customHeight="1" x14ac:dyDescent="0.2">
      <c r="A2" s="777"/>
      <c r="B2" s="778"/>
      <c r="C2" s="778"/>
      <c r="D2" s="778"/>
      <c r="E2" s="778"/>
      <c r="F2" s="778"/>
      <c r="G2" s="778"/>
      <c r="H2" s="779"/>
    </row>
    <row r="3" spans="1:19" ht="15" customHeight="1" x14ac:dyDescent="0.2">
      <c r="A3" s="780"/>
      <c r="H3" s="781"/>
    </row>
    <row r="4" spans="1:19" ht="15" customHeight="1" x14ac:dyDescent="0.2">
      <c r="A4" s="780"/>
      <c r="H4" s="781"/>
    </row>
    <row r="5" spans="1:19" ht="15" customHeight="1" x14ac:dyDescent="0.2">
      <c r="A5" s="782" t="s">
        <v>60</v>
      </c>
      <c r="H5" s="781"/>
    </row>
    <row r="6" spans="1:19" ht="15" customHeight="1" x14ac:dyDescent="0.2">
      <c r="A6" s="812" t="s">
        <v>364</v>
      </c>
      <c r="H6" s="781"/>
    </row>
    <row r="7" spans="1:19" ht="15" hidden="1" customHeight="1" x14ac:dyDescent="0.2">
      <c r="A7" s="783"/>
      <c r="H7" s="781"/>
    </row>
    <row r="8" spans="1:19" ht="15" customHeight="1" x14ac:dyDescent="0.2">
      <c r="A8" s="1047" t="s">
        <v>318</v>
      </c>
      <c r="B8" s="1048"/>
      <c r="C8" s="784" t="s">
        <v>6</v>
      </c>
      <c r="D8" s="1049" t="s">
        <v>47</v>
      </c>
      <c r="E8" s="1050"/>
      <c r="F8" s="1051"/>
      <c r="G8" s="1049" t="s">
        <v>13</v>
      </c>
      <c r="H8" s="1052"/>
    </row>
    <row r="9" spans="1:19" ht="15" customHeight="1" x14ac:dyDescent="0.2">
      <c r="A9" s="782" t="s">
        <v>149</v>
      </c>
      <c r="H9" s="781"/>
    </row>
    <row r="10" spans="1:19" ht="15" customHeight="1" x14ac:dyDescent="0.2">
      <c r="A10" s="780" t="s">
        <v>150</v>
      </c>
      <c r="B10" s="772" t="s">
        <v>338</v>
      </c>
      <c r="C10" s="821">
        <v>11.825799999999999</v>
      </c>
      <c r="D10" s="803"/>
      <c r="E10" s="785">
        <v>11.825799999999999</v>
      </c>
      <c r="F10" s="785"/>
      <c r="G10" s="785">
        <v>11.825799999999999</v>
      </c>
      <c r="H10" s="786"/>
      <c r="I10" s="834"/>
      <c r="J10" s="817"/>
      <c r="K10" s="817"/>
      <c r="Q10" s="835"/>
      <c r="R10" s="836"/>
    </row>
    <row r="11" spans="1:19" ht="15" customHeight="1" x14ac:dyDescent="0.2">
      <c r="A11" s="780" t="s">
        <v>347</v>
      </c>
      <c r="B11" s="772" t="s">
        <v>338</v>
      </c>
      <c r="C11" s="821">
        <v>5.0599999999999999E-2</v>
      </c>
      <c r="D11" s="803"/>
      <c r="E11" s="785">
        <v>5.0599999999999999E-2</v>
      </c>
      <c r="F11" s="785"/>
      <c r="G11" s="785">
        <v>5.0599999999999999E-2</v>
      </c>
      <c r="H11" s="786"/>
      <c r="I11" s="834"/>
      <c r="J11" s="817"/>
      <c r="K11" s="817"/>
      <c r="Q11" s="785"/>
    </row>
    <row r="12" spans="1:19" ht="15" customHeight="1" x14ac:dyDescent="0.2">
      <c r="A12" s="780" t="s">
        <v>348</v>
      </c>
      <c r="B12" s="772" t="s">
        <v>338</v>
      </c>
      <c r="C12" s="821">
        <v>-2.5000000000000001E-3</v>
      </c>
      <c r="D12" s="803"/>
      <c r="E12" s="785">
        <v>-2.5000000000000001E-3</v>
      </c>
      <c r="F12" s="785"/>
      <c r="G12" s="785">
        <v>-2.5000000000000001E-3</v>
      </c>
      <c r="H12" s="786"/>
      <c r="I12" s="834"/>
      <c r="J12" s="817"/>
      <c r="K12" s="817"/>
      <c r="P12" s="785"/>
      <c r="Q12" s="785"/>
      <c r="S12" s="837"/>
    </row>
    <row r="13" spans="1:19" ht="15" customHeight="1" x14ac:dyDescent="0.2">
      <c r="A13" s="780" t="s">
        <v>350</v>
      </c>
      <c r="B13" s="772" t="s">
        <v>338</v>
      </c>
      <c r="C13" s="821">
        <v>0.2127</v>
      </c>
      <c r="D13" s="803"/>
      <c r="E13" s="785">
        <v>0.2127</v>
      </c>
      <c r="F13" s="785"/>
      <c r="G13" s="785">
        <v>0.2127</v>
      </c>
      <c r="H13" s="786"/>
      <c r="I13" s="834"/>
      <c r="J13" s="817"/>
      <c r="K13" s="817"/>
      <c r="Q13" s="785"/>
      <c r="R13" s="838"/>
      <c r="S13" s="838"/>
    </row>
    <row r="14" spans="1:19" ht="15" customHeight="1" x14ac:dyDescent="0.2">
      <c r="A14" s="780" t="s">
        <v>349</v>
      </c>
      <c r="B14" s="772" t="s">
        <v>338</v>
      </c>
      <c r="C14" s="821">
        <v>-1.1299999999999999E-2</v>
      </c>
      <c r="D14" s="803"/>
      <c r="E14" s="785">
        <v>-1.1299999999999999E-2</v>
      </c>
      <c r="F14" s="785"/>
      <c r="G14" s="785">
        <v>-1.1299999999999999E-2</v>
      </c>
      <c r="H14" s="786"/>
      <c r="I14" s="834"/>
      <c r="J14" s="817"/>
      <c r="K14" s="817"/>
      <c r="Q14" s="785"/>
      <c r="R14" s="838"/>
      <c r="S14" s="838"/>
    </row>
    <row r="15" spans="1:19" ht="15" customHeight="1" x14ac:dyDescent="0.2">
      <c r="A15" s="782" t="s">
        <v>156</v>
      </c>
      <c r="C15" s="822"/>
      <c r="D15" s="820"/>
      <c r="E15" s="820"/>
      <c r="F15" s="820"/>
      <c r="G15" s="820"/>
      <c r="H15" s="787"/>
      <c r="P15" s="839"/>
      <c r="Q15" s="840"/>
      <c r="R15" s="841"/>
    </row>
    <row r="16" spans="1:19" ht="15" customHeight="1" x14ac:dyDescent="0.2">
      <c r="A16" s="780" t="s">
        <v>157</v>
      </c>
      <c r="B16" s="772" t="s">
        <v>339</v>
      </c>
      <c r="C16" s="821"/>
      <c r="D16" s="785"/>
      <c r="E16" s="785"/>
      <c r="F16" s="785"/>
      <c r="G16" s="785">
        <v>186.24019999999999</v>
      </c>
      <c r="H16" s="787"/>
      <c r="J16" s="817"/>
      <c r="K16" s="817"/>
    </row>
    <row r="17" spans="1:13" ht="15" customHeight="1" x14ac:dyDescent="0.2">
      <c r="A17" s="780" t="s">
        <v>159</v>
      </c>
      <c r="B17" s="772" t="s">
        <v>338</v>
      </c>
      <c r="C17" s="821">
        <v>0.71940000000000004</v>
      </c>
      <c r="D17" s="785"/>
      <c r="E17" s="785">
        <v>0.71940000000000004</v>
      </c>
      <c r="F17" s="785"/>
      <c r="G17" s="785"/>
      <c r="H17" s="787"/>
      <c r="J17" s="817"/>
      <c r="K17" s="817"/>
    </row>
    <row r="18" spans="1:13" ht="15" customHeight="1" x14ac:dyDescent="0.2">
      <c r="A18" s="782" t="s">
        <v>160</v>
      </c>
      <c r="B18" s="772" t="s">
        <v>338</v>
      </c>
      <c r="C18" s="821">
        <v>1.3886000000000001</v>
      </c>
      <c r="D18" s="785"/>
      <c r="E18" s="785">
        <v>1.3886000000000001</v>
      </c>
      <c r="F18" s="785"/>
      <c r="G18" s="785">
        <v>1.3886000000000001</v>
      </c>
      <c r="H18" s="787"/>
      <c r="J18" s="817"/>
      <c r="K18" s="817"/>
    </row>
    <row r="19" spans="1:13" ht="15" customHeight="1" x14ac:dyDescent="0.2">
      <c r="A19" s="782" t="s">
        <v>161</v>
      </c>
      <c r="C19" s="821"/>
      <c r="D19" s="785"/>
      <c r="E19" s="785"/>
      <c r="F19" s="785"/>
      <c r="G19" s="785"/>
      <c r="H19" s="786"/>
    </row>
    <row r="20" spans="1:13" ht="15" customHeight="1" x14ac:dyDescent="0.2">
      <c r="A20" s="780" t="s">
        <v>162</v>
      </c>
      <c r="B20" s="772" t="s">
        <v>339</v>
      </c>
      <c r="C20" s="821"/>
      <c r="D20" s="785"/>
      <c r="E20" s="785"/>
      <c r="F20" s="785"/>
      <c r="G20" s="788">
        <v>267.89999999999998</v>
      </c>
      <c r="H20" s="786"/>
      <c r="J20" s="817"/>
      <c r="K20" s="817"/>
    </row>
    <row r="21" spans="1:13" ht="15" customHeight="1" x14ac:dyDescent="0.2">
      <c r="A21" s="780" t="s">
        <v>163</v>
      </c>
      <c r="B21" s="772" t="s">
        <v>338</v>
      </c>
      <c r="C21" s="821">
        <v>0.84489999999999998</v>
      </c>
      <c r="D21" s="842"/>
      <c r="E21" s="830">
        <v>0.92589999999999995</v>
      </c>
      <c r="F21" s="785"/>
      <c r="G21" s="785"/>
      <c r="H21" s="786"/>
      <c r="J21" s="817"/>
      <c r="K21" s="817"/>
      <c r="M21" s="785"/>
    </row>
    <row r="22" spans="1:13" ht="15" customHeight="1" x14ac:dyDescent="0.2">
      <c r="A22" s="782" t="s">
        <v>164</v>
      </c>
      <c r="C22" s="821"/>
      <c r="D22" s="842"/>
      <c r="E22" s="785"/>
      <c r="F22" s="785"/>
      <c r="G22" s="785"/>
      <c r="H22" s="786"/>
    </row>
    <row r="23" spans="1:13" ht="15" customHeight="1" x14ac:dyDescent="0.2">
      <c r="A23" s="780" t="s">
        <v>334</v>
      </c>
      <c r="B23" s="772" t="s">
        <v>166</v>
      </c>
      <c r="C23" s="821"/>
      <c r="D23" s="842"/>
      <c r="E23" s="843">
        <v>40.15</v>
      </c>
      <c r="F23" s="788"/>
      <c r="G23" s="843">
        <v>40.15</v>
      </c>
      <c r="H23" s="786"/>
      <c r="J23" s="817"/>
      <c r="K23" s="817"/>
      <c r="M23" s="785"/>
    </row>
    <row r="24" spans="1:13" ht="15" customHeight="1" x14ac:dyDescent="0.2">
      <c r="A24" s="780" t="s">
        <v>167</v>
      </c>
      <c r="B24" s="772" t="s">
        <v>338</v>
      </c>
      <c r="C24" s="821">
        <v>0.7732</v>
      </c>
      <c r="D24" s="842"/>
      <c r="E24" s="785"/>
      <c r="F24" s="785"/>
      <c r="G24" s="785"/>
      <c r="H24" s="786"/>
      <c r="J24" s="817"/>
      <c r="K24" s="817"/>
    </row>
    <row r="25" spans="1:13" ht="15" customHeight="1" x14ac:dyDescent="0.2">
      <c r="A25" s="782" t="s">
        <v>168</v>
      </c>
      <c r="C25" s="823"/>
      <c r="D25" s="842"/>
      <c r="E25" s="785"/>
      <c r="F25" s="785"/>
      <c r="G25" s="785"/>
      <c r="H25" s="786"/>
      <c r="I25" s="785"/>
    </row>
    <row r="26" spans="1:13" ht="15" customHeight="1" x14ac:dyDescent="0.2">
      <c r="A26" s="780" t="s">
        <v>221</v>
      </c>
      <c r="B26" s="772" t="s">
        <v>170</v>
      </c>
      <c r="C26" s="824">
        <v>5</v>
      </c>
      <c r="D26" s="842"/>
      <c r="E26" s="843">
        <v>28.72</v>
      </c>
      <c r="F26" s="788"/>
      <c r="G26" s="843">
        <v>28.72</v>
      </c>
      <c r="H26" s="786"/>
      <c r="J26" s="817"/>
      <c r="K26" s="817"/>
    </row>
    <row r="27" spans="1:13" ht="15" customHeight="1" x14ac:dyDescent="0.2">
      <c r="A27" s="780" t="s">
        <v>171</v>
      </c>
      <c r="B27" s="772" t="s">
        <v>338</v>
      </c>
      <c r="C27" s="821">
        <v>0.45689999999999997</v>
      </c>
      <c r="D27" s="785"/>
      <c r="E27" s="785"/>
      <c r="F27" s="785"/>
      <c r="G27" s="785"/>
      <c r="H27" s="786"/>
      <c r="J27" s="817"/>
      <c r="K27" s="817"/>
    </row>
    <row r="28" spans="1:13" ht="15" customHeight="1" x14ac:dyDescent="0.2">
      <c r="A28" s="789" t="s">
        <v>268</v>
      </c>
      <c r="B28" s="790" t="s">
        <v>338</v>
      </c>
      <c r="C28" s="825">
        <v>0.11</v>
      </c>
      <c r="D28"/>
      <c r="E28" s="750">
        <v>0.11</v>
      </c>
      <c r="F28"/>
      <c r="G28" s="750">
        <v>0.11</v>
      </c>
      <c r="H28" s="787"/>
      <c r="J28" s="817"/>
      <c r="K28" s="817"/>
    </row>
    <row r="29" spans="1:13" ht="15" customHeight="1" x14ac:dyDescent="0.2">
      <c r="A29" s="771" t="s">
        <v>269</v>
      </c>
      <c r="B29" s="772" t="s">
        <v>338</v>
      </c>
      <c r="C29" s="826">
        <v>8.0000000000000004E-4</v>
      </c>
      <c r="D29" s="768"/>
      <c r="E29" s="819">
        <v>8.0000000000000004E-4</v>
      </c>
      <c r="F29" s="768"/>
      <c r="G29" s="819">
        <v>8.0000000000000004E-4</v>
      </c>
      <c r="H29" s="787"/>
      <c r="I29" s="839"/>
      <c r="J29" s="817"/>
      <c r="K29" s="817"/>
    </row>
    <row r="30" spans="1:13" ht="16.5" customHeight="1" x14ac:dyDescent="0.2">
      <c r="A30" s="782" t="s">
        <v>174</v>
      </c>
      <c r="C30" s="821"/>
      <c r="D30" s="785"/>
      <c r="E30" s="785"/>
      <c r="F30" s="785"/>
      <c r="G30" s="785"/>
      <c r="H30" s="786"/>
    </row>
    <row r="31" spans="1:13" ht="15" customHeight="1" x14ac:dyDescent="0.2">
      <c r="A31" s="780" t="s">
        <v>175</v>
      </c>
      <c r="B31" s="772" t="s">
        <v>338</v>
      </c>
      <c r="C31" s="821">
        <v>0.17829999999999999</v>
      </c>
      <c r="D31" s="785"/>
      <c r="E31" s="785">
        <v>0.17829999999999999</v>
      </c>
      <c r="F31" s="785"/>
      <c r="G31" s="785">
        <v>0.17829999999999999</v>
      </c>
      <c r="H31" s="791"/>
      <c r="J31" s="817"/>
      <c r="K31" s="817"/>
    </row>
    <row r="32" spans="1:13" ht="15" customHeight="1" x14ac:dyDescent="0.2">
      <c r="A32" s="780" t="s">
        <v>176</v>
      </c>
      <c r="B32" s="772" t="s">
        <v>338</v>
      </c>
      <c r="C32" s="821"/>
      <c r="D32" s="785"/>
      <c r="E32" s="785"/>
      <c r="F32" s="785"/>
      <c r="G32" s="830"/>
      <c r="H32" s="786"/>
      <c r="I32" s="785"/>
      <c r="J32" s="817"/>
      <c r="K32" s="817"/>
    </row>
    <row r="33" spans="1:18" ht="15" customHeight="1" x14ac:dyDescent="0.2">
      <c r="A33" s="780" t="s">
        <v>200</v>
      </c>
      <c r="B33" s="772" t="s">
        <v>338</v>
      </c>
      <c r="C33" s="821"/>
      <c r="D33" s="785"/>
      <c r="E33" s="785"/>
      <c r="F33" s="785"/>
      <c r="G33" s="830"/>
      <c r="H33" s="786"/>
      <c r="I33" s="785"/>
      <c r="J33" s="817"/>
      <c r="K33" s="817"/>
    </row>
    <row r="34" spans="1:18" ht="15" customHeight="1" x14ac:dyDescent="0.2">
      <c r="A34" s="780" t="s">
        <v>337</v>
      </c>
      <c r="B34" s="772" t="s">
        <v>338</v>
      </c>
      <c r="C34" s="821">
        <v>1.6999999999999999E-3</v>
      </c>
      <c r="D34" s="785"/>
      <c r="E34" s="785">
        <v>1.6999999999999999E-3</v>
      </c>
      <c r="F34" s="785"/>
      <c r="G34" s="830">
        <v>1.6999999999999999E-3</v>
      </c>
      <c r="H34" s="791"/>
      <c r="J34" s="817"/>
      <c r="K34" s="817"/>
      <c r="O34" s="844"/>
      <c r="P34" s="844"/>
      <c r="Q34" s="844"/>
    </row>
    <row r="35" spans="1:18" ht="15" customHeight="1" x14ac:dyDescent="0.2">
      <c r="A35" s="780" t="s">
        <v>340</v>
      </c>
      <c r="B35" s="772" t="s">
        <v>338</v>
      </c>
      <c r="C35" s="821">
        <v>4.2799999999999998E-2</v>
      </c>
      <c r="D35" s="785"/>
      <c r="E35" s="785">
        <v>4.2799999999999998E-2</v>
      </c>
      <c r="F35" s="785"/>
      <c r="G35" s="830">
        <v>4.2799999999999998E-2</v>
      </c>
      <c r="H35" s="791"/>
      <c r="I35" s="785"/>
      <c r="J35" s="817"/>
      <c r="K35" s="817"/>
    </row>
    <row r="36" spans="1:18" ht="15" customHeight="1" x14ac:dyDescent="0.2">
      <c r="A36" s="771" t="s">
        <v>335</v>
      </c>
      <c r="B36" s="772" t="s">
        <v>338</v>
      </c>
      <c r="C36" s="827">
        <v>3.6400000000000002E-2</v>
      </c>
      <c r="D36"/>
      <c r="E36" s="2">
        <v>3.6400000000000002E-2</v>
      </c>
      <c r="F36"/>
      <c r="G36" s="2">
        <v>3.6400000000000002E-2</v>
      </c>
      <c r="H36" s="791"/>
      <c r="J36" s="817"/>
      <c r="K36" s="817"/>
    </row>
    <row r="37" spans="1:18" ht="15" customHeight="1" x14ac:dyDescent="0.2">
      <c r="A37" s="782" t="s">
        <v>182</v>
      </c>
      <c r="C37" s="821"/>
      <c r="D37" s="785"/>
      <c r="E37" s="830"/>
      <c r="F37" s="785"/>
      <c r="G37" s="830"/>
      <c r="H37" s="791"/>
    </row>
    <row r="38" spans="1:18" ht="15" customHeight="1" x14ac:dyDescent="0.2">
      <c r="A38" s="780" t="s">
        <v>211</v>
      </c>
      <c r="B38" s="772" t="s">
        <v>338</v>
      </c>
      <c r="C38" s="821">
        <v>1.3506</v>
      </c>
      <c r="D38" s="785"/>
      <c r="E38" s="785">
        <v>1.3506</v>
      </c>
      <c r="F38" s="785"/>
      <c r="G38" s="830">
        <v>1.3506</v>
      </c>
      <c r="H38" s="791"/>
      <c r="J38" s="817"/>
      <c r="K38" s="817"/>
      <c r="M38" s="818"/>
    </row>
    <row r="39" spans="1:18" ht="15" customHeight="1" x14ac:dyDescent="0.2">
      <c r="A39" s="780" t="s">
        <v>212</v>
      </c>
      <c r="B39" s="772" t="s">
        <v>338</v>
      </c>
      <c r="C39" s="821">
        <v>8.6199999999999999E-2</v>
      </c>
      <c r="D39" s="785"/>
      <c r="E39" s="785">
        <v>8.6199999999999999E-2</v>
      </c>
      <c r="F39" s="785"/>
      <c r="G39" s="830">
        <v>8.6199999999999999E-2</v>
      </c>
      <c r="H39" s="791"/>
      <c r="J39" s="817"/>
      <c r="K39" s="817"/>
      <c r="M39" s="818"/>
    </row>
    <row r="40" spans="1:18" ht="15" customHeight="1" x14ac:dyDescent="0.2">
      <c r="A40" s="780" t="s">
        <v>213</v>
      </c>
      <c r="B40" s="772" t="s">
        <v>338</v>
      </c>
      <c r="C40" s="821">
        <v>0.159</v>
      </c>
      <c r="D40" s="785"/>
      <c r="E40" s="785">
        <v>0.159</v>
      </c>
      <c r="F40" s="785"/>
      <c r="G40" s="830">
        <v>0.159</v>
      </c>
      <c r="H40" s="791"/>
      <c r="J40" s="817"/>
      <c r="K40" s="817"/>
      <c r="M40" s="818"/>
    </row>
    <row r="41" spans="1:18" ht="15" customHeight="1" x14ac:dyDescent="0.2">
      <c r="A41" s="780" t="s">
        <v>214</v>
      </c>
      <c r="B41" s="772" t="s">
        <v>338</v>
      </c>
      <c r="C41" s="821">
        <v>0.26229999999999998</v>
      </c>
      <c r="D41" s="785"/>
      <c r="E41" s="785">
        <v>0.1244</v>
      </c>
      <c r="F41" s="785"/>
      <c r="G41" s="830">
        <v>1.3299999999999999E-2</v>
      </c>
      <c r="H41" s="791"/>
      <c r="J41" s="817"/>
      <c r="K41" s="817"/>
      <c r="L41" s="857"/>
      <c r="M41" s="818"/>
    </row>
    <row r="42" spans="1:18" ht="15" customHeight="1" x14ac:dyDescent="0.2">
      <c r="A42" s="792" t="s">
        <v>177</v>
      </c>
      <c r="B42" s="793" t="s">
        <v>338</v>
      </c>
      <c r="C42" s="828">
        <v>0.40039999999999998</v>
      </c>
      <c r="D42" s="794"/>
      <c r="E42" s="794">
        <v>0.40039999999999998</v>
      </c>
      <c r="F42" s="794"/>
      <c r="G42" s="845">
        <v>0.40039999999999998</v>
      </c>
      <c r="H42" s="795"/>
      <c r="J42" s="817"/>
      <c r="K42" s="817"/>
    </row>
    <row r="43" spans="1:18" ht="15" customHeight="1" thickBot="1" x14ac:dyDescent="0.25">
      <c r="A43" s="766" t="s">
        <v>178</v>
      </c>
      <c r="B43" s="796"/>
      <c r="C43" s="829">
        <f>11.8258+0.0506-0.0025+0.2127-0.0113+0.7194+1.3886+0.8449+0.7732+0.4569+0.11+0.0008+0.1783+0.0017+0.0428+0.0364+1.3506+0.0862+0.159+0.2623+0.4004</f>
        <v>18.886800000000001</v>
      </c>
      <c r="D43" s="797"/>
      <c r="E43" s="829">
        <f>11.8258+0.0506-0.0025+0.2127-0.0113+0.7194+1.3886+0.9259+0.11+0.0008+0.1783+0.0017+0.0428+0.0364+1.3506+0.0862+0.159+0.1244+0.4004</f>
        <v>17.599800000000002</v>
      </c>
      <c r="F43" s="796"/>
      <c r="G43" s="829">
        <f>11.8258+0.0506-0.0025+0.2127-0.0113+1.3886+0.11+0.0008+0.1783+0.0017+0.0428+0.0364+1.3506+0.0862+0.159+0.0133+0.4004</f>
        <v>15.843399999999997</v>
      </c>
      <c r="H43" s="787"/>
      <c r="J43" s="846"/>
      <c r="K43" s="846"/>
      <c r="L43" s="829"/>
    </row>
    <row r="44" spans="1:18" ht="15" customHeight="1" thickTop="1" x14ac:dyDescent="0.2">
      <c r="A44" s="5" t="s">
        <v>179</v>
      </c>
      <c r="B44" s="807" t="s">
        <v>166</v>
      </c>
      <c r="C44" s="808">
        <f>C26</f>
        <v>5</v>
      </c>
      <c r="D44" s="808"/>
      <c r="E44" s="808">
        <f>E23+E26</f>
        <v>68.87</v>
      </c>
      <c r="F44" s="808"/>
      <c r="G44" s="808">
        <f>G23+G26</f>
        <v>68.87</v>
      </c>
      <c r="H44" s="809"/>
      <c r="J44" s="817"/>
      <c r="K44" s="817"/>
    </row>
    <row r="45" spans="1:18" ht="15" customHeight="1" thickBot="1" x14ac:dyDescent="0.25">
      <c r="A45" s="798" t="s">
        <v>346</v>
      </c>
      <c r="B45" s="814" t="s">
        <v>339</v>
      </c>
      <c r="C45" s="804"/>
      <c r="D45" s="804"/>
      <c r="E45" s="804"/>
      <c r="F45" s="804"/>
      <c r="G45" s="805">
        <f>G20</f>
        <v>267.89999999999998</v>
      </c>
      <c r="H45" s="806"/>
      <c r="I45" s="788"/>
      <c r="J45" s="952"/>
      <c r="K45" s="817"/>
    </row>
    <row r="46" spans="1:18" ht="13.5" customHeight="1" thickTop="1" x14ac:dyDescent="0.2">
      <c r="A46" s="780"/>
      <c r="C46" s="799"/>
      <c r="E46" s="799"/>
      <c r="G46" s="799"/>
      <c r="H46" s="781"/>
      <c r="I46" s="788"/>
      <c r="J46" s="952"/>
      <c r="K46" s="817"/>
    </row>
    <row r="47" spans="1:18" s="801" customFormat="1" ht="15" customHeight="1" x14ac:dyDescent="0.2">
      <c r="A47" s="800" t="s">
        <v>342</v>
      </c>
      <c r="B47" s="801" t="s">
        <v>343</v>
      </c>
      <c r="C47" s="816"/>
      <c r="E47" s="802" t="s">
        <v>344</v>
      </c>
      <c r="F47" s="802" t="s">
        <v>193</v>
      </c>
      <c r="G47" s="802"/>
      <c r="H47" s="791"/>
      <c r="J47" s="847"/>
      <c r="K47" s="847"/>
      <c r="L47" s="849"/>
      <c r="R47" s="850"/>
    </row>
    <row r="48" spans="1:18" ht="15" customHeight="1" x14ac:dyDescent="0.2">
      <c r="A48" s="800"/>
      <c r="B48" s="801"/>
      <c r="C48" s="802"/>
      <c r="E48" s="802"/>
      <c r="F48" s="802" t="s">
        <v>193</v>
      </c>
      <c r="G48" s="802"/>
      <c r="H48" s="781"/>
      <c r="J48" s="817"/>
      <c r="K48" s="817"/>
    </row>
    <row r="49" spans="1:18" s="852" customFormat="1" ht="15" customHeight="1" x14ac:dyDescent="0.2">
      <c r="A49" s="810" t="s">
        <v>341</v>
      </c>
      <c r="B49" s="851"/>
      <c r="C49" s="811"/>
      <c r="D49" s="811"/>
      <c r="E49" s="811"/>
      <c r="F49" s="811"/>
      <c r="G49" s="811"/>
      <c r="H49" s="815"/>
      <c r="J49" s="953"/>
      <c r="K49" s="853"/>
      <c r="L49" s="854"/>
      <c r="R49" s="855"/>
    </row>
    <row r="50" spans="1:18" s="801" customFormat="1" ht="15" customHeight="1" thickBot="1" x14ac:dyDescent="0.25">
      <c r="A50" s="1053" t="s">
        <v>345</v>
      </c>
      <c r="B50" s="1054"/>
      <c r="C50" s="1054"/>
      <c r="D50" s="1054"/>
      <c r="E50" s="1054"/>
      <c r="F50" s="1054"/>
      <c r="G50" s="1054"/>
      <c r="H50" s="1055"/>
      <c r="J50" s="848"/>
      <c r="K50" s="848"/>
      <c r="L50" s="849"/>
      <c r="R50" s="850"/>
    </row>
    <row r="59" spans="1:18" ht="15" customHeight="1" x14ac:dyDescent="0.2">
      <c r="J59" s="954"/>
      <c r="K59" s="954"/>
    </row>
  </sheetData>
  <mergeCells count="4">
    <mergeCell ref="A8:B8"/>
    <mergeCell ref="D8:F8"/>
    <mergeCell ref="G8:H8"/>
    <mergeCell ref="A50:H5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7D425-60D1-44CC-87A4-23473F06DE99}">
  <dimension ref="A1:S59"/>
  <sheetViews>
    <sheetView tabSelected="1" workbookViewId="0">
      <selection activeCell="I49" sqref="I49"/>
    </sheetView>
  </sheetViews>
  <sheetFormatPr defaultColWidth="9.140625" defaultRowHeight="15" customHeight="1" x14ac:dyDescent="0.2"/>
  <cols>
    <col min="1" max="1" width="39.140625" style="772" customWidth="1"/>
    <col min="2" max="2" width="12" style="772" customWidth="1"/>
    <col min="3" max="3" width="12.7109375" style="772" customWidth="1"/>
    <col min="4" max="4" width="1.7109375" style="772" customWidth="1"/>
    <col min="5" max="5" width="10.85546875" style="772" customWidth="1"/>
    <col min="6" max="6" width="11.85546875" style="772" hidden="1" customWidth="1"/>
    <col min="7" max="7" width="13.42578125" style="772" customWidth="1"/>
    <col min="8" max="8" width="2.42578125" style="772" customWidth="1"/>
    <col min="9" max="9" width="18.7109375" style="772" bestFit="1" customWidth="1"/>
    <col min="10" max="10" width="17.5703125" style="831" customWidth="1"/>
    <col min="11" max="11" width="14.42578125" style="831" customWidth="1"/>
    <col min="12" max="12" width="12.7109375" style="832" customWidth="1"/>
    <col min="13" max="13" width="15.5703125" style="772" customWidth="1"/>
    <col min="14" max="14" width="10" style="772" customWidth="1"/>
    <col min="15" max="15" width="16.140625" style="772" bestFit="1" customWidth="1"/>
    <col min="16" max="17" width="7.85546875" style="772" bestFit="1" customWidth="1"/>
    <col min="18" max="18" width="9.5703125" style="833" bestFit="1" customWidth="1"/>
    <col min="19" max="19" width="16.5703125" style="772" customWidth="1"/>
    <col min="20" max="20" width="12.28515625" style="772" customWidth="1"/>
    <col min="21" max="21" width="12.5703125" style="772" customWidth="1"/>
    <col min="22" max="22" width="9.140625" style="772"/>
    <col min="23" max="23" width="16.42578125" style="772" customWidth="1"/>
    <col min="24" max="24" width="17.5703125" style="772" customWidth="1"/>
    <col min="25" max="25" width="16" style="772" customWidth="1"/>
    <col min="26" max="26" width="15" style="772" customWidth="1"/>
    <col min="27" max="27" width="14.28515625" style="772" bestFit="1" customWidth="1"/>
    <col min="28" max="29" width="14.140625" style="772" customWidth="1"/>
    <col min="30" max="16384" width="9.140625" style="772"/>
  </cols>
  <sheetData>
    <row r="1" spans="1:19" ht="15" customHeight="1" thickBot="1" x14ac:dyDescent="0.25"/>
    <row r="2" spans="1:19" ht="15" customHeight="1" x14ac:dyDescent="0.2">
      <c r="A2" s="777"/>
      <c r="B2" s="778"/>
      <c r="C2" s="778"/>
      <c r="D2" s="778"/>
      <c r="E2" s="778"/>
      <c r="F2" s="778"/>
      <c r="G2" s="778"/>
      <c r="H2" s="779"/>
    </row>
    <row r="3" spans="1:19" ht="15" customHeight="1" x14ac:dyDescent="0.2">
      <c r="A3" s="780"/>
      <c r="H3" s="781"/>
    </row>
    <row r="4" spans="1:19" ht="15" customHeight="1" x14ac:dyDescent="0.2">
      <c r="A4" s="780"/>
      <c r="H4" s="781"/>
    </row>
    <row r="5" spans="1:19" ht="15" customHeight="1" x14ac:dyDescent="0.2">
      <c r="A5" s="782" t="s">
        <v>60</v>
      </c>
      <c r="H5" s="781"/>
    </row>
    <row r="6" spans="1:19" ht="15" customHeight="1" x14ac:dyDescent="0.2">
      <c r="A6" s="812" t="s">
        <v>365</v>
      </c>
      <c r="H6" s="781"/>
    </row>
    <row r="7" spans="1:19" ht="15" hidden="1" customHeight="1" x14ac:dyDescent="0.2">
      <c r="A7" s="783"/>
      <c r="H7" s="781"/>
    </row>
    <row r="8" spans="1:19" ht="15" customHeight="1" x14ac:dyDescent="0.2">
      <c r="A8" s="1047" t="s">
        <v>318</v>
      </c>
      <c r="B8" s="1048"/>
      <c r="C8" s="784" t="s">
        <v>6</v>
      </c>
      <c r="D8" s="1049" t="s">
        <v>47</v>
      </c>
      <c r="E8" s="1050"/>
      <c r="F8" s="1051"/>
      <c r="G8" s="1049" t="s">
        <v>13</v>
      </c>
      <c r="H8" s="1052"/>
    </row>
    <row r="9" spans="1:19" ht="15" customHeight="1" x14ac:dyDescent="0.2">
      <c r="A9" s="782" t="s">
        <v>149</v>
      </c>
      <c r="H9" s="781"/>
    </row>
    <row r="10" spans="1:19" ht="15" customHeight="1" x14ac:dyDescent="0.2">
      <c r="A10" s="780" t="s">
        <v>150</v>
      </c>
      <c r="B10" s="772" t="s">
        <v>338</v>
      </c>
      <c r="C10" s="821">
        <v>11.091900000000001</v>
      </c>
      <c r="D10" s="803"/>
      <c r="E10" s="785">
        <v>11.091900000000001</v>
      </c>
      <c r="F10" s="785"/>
      <c r="G10" s="785">
        <v>11.091900000000001</v>
      </c>
      <c r="H10" s="786"/>
      <c r="I10" s="834"/>
      <c r="J10" s="817"/>
      <c r="K10" s="817"/>
      <c r="Q10" s="835"/>
      <c r="R10" s="836"/>
    </row>
    <row r="11" spans="1:19" ht="15" customHeight="1" x14ac:dyDescent="0.2">
      <c r="A11" s="780" t="s">
        <v>347</v>
      </c>
      <c r="B11" s="772" t="s">
        <v>338</v>
      </c>
      <c r="C11" s="821">
        <v>5.4600000000000003E-2</v>
      </c>
      <c r="D11" s="803"/>
      <c r="E11" s="785">
        <v>5.4600000000000003E-2</v>
      </c>
      <c r="F11" s="785"/>
      <c r="G11" s="785">
        <v>5.4600000000000003E-2</v>
      </c>
      <c r="H11" s="786"/>
      <c r="I11" s="834"/>
      <c r="J11" s="817"/>
      <c r="K11" s="817"/>
      <c r="Q11" s="785"/>
    </row>
    <row r="12" spans="1:19" ht="15" customHeight="1" x14ac:dyDescent="0.2">
      <c r="A12" s="780" t="s">
        <v>348</v>
      </c>
      <c r="B12" s="772" t="s">
        <v>338</v>
      </c>
      <c r="C12" s="821">
        <v>-2.5999999999999999E-3</v>
      </c>
      <c r="D12" s="803"/>
      <c r="E12" s="785">
        <v>-2.5999999999999999E-3</v>
      </c>
      <c r="F12" s="785"/>
      <c r="G12" s="785">
        <v>-2.5999999999999999E-3</v>
      </c>
      <c r="H12" s="786"/>
      <c r="I12" s="834"/>
      <c r="J12" s="817"/>
      <c r="K12" s="817"/>
      <c r="P12" s="785"/>
      <c r="Q12" s="785"/>
      <c r="S12" s="837"/>
    </row>
    <row r="13" spans="1:19" ht="15" customHeight="1" x14ac:dyDescent="0.2">
      <c r="A13" s="780" t="s">
        <v>350</v>
      </c>
      <c r="B13" s="772" t="s">
        <v>338</v>
      </c>
      <c r="C13" s="821">
        <v>0.2293</v>
      </c>
      <c r="D13" s="803"/>
      <c r="E13" s="785">
        <v>0.2293</v>
      </c>
      <c r="F13" s="785"/>
      <c r="G13" s="785">
        <v>0.2293</v>
      </c>
      <c r="H13" s="786"/>
      <c r="I13" s="834"/>
      <c r="J13" s="817"/>
      <c r="K13" s="817"/>
      <c r="Q13" s="785"/>
      <c r="R13" s="838"/>
      <c r="S13" s="838"/>
    </row>
    <row r="14" spans="1:19" ht="15" customHeight="1" x14ac:dyDescent="0.2">
      <c r="A14" s="780" t="s">
        <v>349</v>
      </c>
      <c r="B14" s="772" t="s">
        <v>338</v>
      </c>
      <c r="C14" s="821">
        <v>-1.2200000000000001E-2</v>
      </c>
      <c r="D14" s="803"/>
      <c r="E14" s="785">
        <v>-1.2200000000000001E-2</v>
      </c>
      <c r="F14" s="785"/>
      <c r="G14" s="785">
        <v>-1.2200000000000001E-2</v>
      </c>
      <c r="H14" s="786"/>
      <c r="I14" s="834"/>
      <c r="J14" s="817"/>
      <c r="K14" s="817"/>
      <c r="Q14" s="785"/>
      <c r="R14" s="838"/>
      <c r="S14" s="838"/>
    </row>
    <row r="15" spans="1:19" ht="15" customHeight="1" x14ac:dyDescent="0.2">
      <c r="A15" s="782" t="s">
        <v>156</v>
      </c>
      <c r="C15" s="822"/>
      <c r="D15" s="820"/>
      <c r="E15" s="820"/>
      <c r="F15" s="820"/>
      <c r="G15" s="820"/>
      <c r="H15" s="787"/>
      <c r="P15" s="839"/>
      <c r="Q15" s="840"/>
      <c r="R15" s="841"/>
    </row>
    <row r="16" spans="1:19" ht="15" customHeight="1" x14ac:dyDescent="0.2">
      <c r="A16" s="780" t="s">
        <v>157</v>
      </c>
      <c r="B16" s="772" t="s">
        <v>339</v>
      </c>
      <c r="C16" s="821"/>
      <c r="D16" s="785"/>
      <c r="E16" s="785"/>
      <c r="F16" s="785"/>
      <c r="G16" s="785">
        <v>197.5445</v>
      </c>
      <c r="H16" s="787"/>
      <c r="J16" s="817"/>
      <c r="K16" s="817"/>
    </row>
    <row r="17" spans="1:13" ht="15" customHeight="1" x14ac:dyDescent="0.2">
      <c r="A17" s="780" t="s">
        <v>159</v>
      </c>
      <c r="B17" s="772" t="s">
        <v>338</v>
      </c>
      <c r="C17" s="821">
        <v>0.74970000000000003</v>
      </c>
      <c r="D17" s="785"/>
      <c r="E17" s="785">
        <v>0.74970000000000003</v>
      </c>
      <c r="F17" s="785"/>
      <c r="G17" s="785"/>
      <c r="H17" s="787"/>
      <c r="J17" s="817"/>
      <c r="K17" s="817"/>
    </row>
    <row r="18" spans="1:13" ht="15" customHeight="1" x14ac:dyDescent="0.2">
      <c r="A18" s="782" t="s">
        <v>160</v>
      </c>
      <c r="B18" s="772" t="s">
        <v>338</v>
      </c>
      <c r="C18" s="821">
        <v>1.3267</v>
      </c>
      <c r="D18" s="785"/>
      <c r="E18" s="785">
        <v>1.3267</v>
      </c>
      <c r="F18" s="785"/>
      <c r="G18" s="785">
        <v>1.3267</v>
      </c>
      <c r="H18" s="787"/>
      <c r="J18" s="817"/>
      <c r="K18" s="817"/>
    </row>
    <row r="19" spans="1:13" ht="15" customHeight="1" x14ac:dyDescent="0.2">
      <c r="A19" s="782" t="s">
        <v>161</v>
      </c>
      <c r="C19" s="821"/>
      <c r="D19" s="785"/>
      <c r="E19" s="785"/>
      <c r="F19" s="785"/>
      <c r="G19" s="785"/>
      <c r="H19" s="786"/>
    </row>
    <row r="20" spans="1:13" ht="15" customHeight="1" x14ac:dyDescent="0.2">
      <c r="A20" s="780" t="s">
        <v>162</v>
      </c>
      <c r="B20" s="772" t="s">
        <v>339</v>
      </c>
      <c r="C20" s="821"/>
      <c r="D20" s="785"/>
      <c r="E20" s="785"/>
      <c r="F20" s="785"/>
      <c r="G20" s="788">
        <v>267.89999999999998</v>
      </c>
      <c r="H20" s="786"/>
      <c r="J20" s="817"/>
      <c r="K20" s="817"/>
    </row>
    <row r="21" spans="1:13" ht="15" customHeight="1" x14ac:dyDescent="0.2">
      <c r="A21" s="780" t="s">
        <v>163</v>
      </c>
      <c r="B21" s="772" t="s">
        <v>338</v>
      </c>
      <c r="C21" s="821">
        <v>0.84489999999999998</v>
      </c>
      <c r="D21" s="842"/>
      <c r="E21" s="830">
        <v>0.92589999999999995</v>
      </c>
      <c r="F21" s="785"/>
      <c r="G21" s="785"/>
      <c r="H21" s="786"/>
      <c r="J21" s="817"/>
      <c r="K21" s="817"/>
      <c r="M21" s="785"/>
    </row>
    <row r="22" spans="1:13" ht="15" customHeight="1" x14ac:dyDescent="0.2">
      <c r="A22" s="782" t="s">
        <v>164</v>
      </c>
      <c r="C22" s="821"/>
      <c r="D22" s="842"/>
      <c r="E22" s="785"/>
      <c r="F22" s="785"/>
      <c r="G22" s="785"/>
      <c r="H22" s="786"/>
    </row>
    <row r="23" spans="1:13" ht="15" customHeight="1" x14ac:dyDescent="0.2">
      <c r="A23" s="780" t="s">
        <v>334</v>
      </c>
      <c r="B23" s="772" t="s">
        <v>166</v>
      </c>
      <c r="C23" s="821"/>
      <c r="D23" s="842"/>
      <c r="E23" s="843">
        <v>40.15</v>
      </c>
      <c r="F23" s="788"/>
      <c r="G23" s="843">
        <v>40.15</v>
      </c>
      <c r="H23" s="786"/>
      <c r="J23" s="817"/>
      <c r="K23" s="817"/>
      <c r="M23" s="785"/>
    </row>
    <row r="24" spans="1:13" ht="15" customHeight="1" x14ac:dyDescent="0.2">
      <c r="A24" s="780" t="s">
        <v>167</v>
      </c>
      <c r="B24" s="772" t="s">
        <v>338</v>
      </c>
      <c r="C24" s="821">
        <v>0.7732</v>
      </c>
      <c r="D24" s="842"/>
      <c r="E24" s="785"/>
      <c r="F24" s="785"/>
      <c r="G24" s="785"/>
      <c r="H24" s="786"/>
      <c r="J24" s="817"/>
      <c r="K24" s="817"/>
    </row>
    <row r="25" spans="1:13" ht="15" customHeight="1" x14ac:dyDescent="0.2">
      <c r="A25" s="782" t="s">
        <v>168</v>
      </c>
      <c r="C25" s="823"/>
      <c r="D25" s="842"/>
      <c r="E25" s="785"/>
      <c r="F25" s="785"/>
      <c r="G25" s="785"/>
      <c r="H25" s="786"/>
      <c r="I25" s="785"/>
    </row>
    <row r="26" spans="1:13" ht="15" customHeight="1" x14ac:dyDescent="0.2">
      <c r="A26" s="780" t="s">
        <v>221</v>
      </c>
      <c r="B26" s="772" t="s">
        <v>170</v>
      </c>
      <c r="C26" s="824">
        <v>5</v>
      </c>
      <c r="D26" s="842"/>
      <c r="E26" s="843">
        <v>28.72</v>
      </c>
      <c r="F26" s="788"/>
      <c r="G26" s="843">
        <v>28.72</v>
      </c>
      <c r="H26" s="786"/>
      <c r="J26" s="817"/>
      <c r="K26" s="817"/>
    </row>
    <row r="27" spans="1:13" ht="15" customHeight="1" x14ac:dyDescent="0.2">
      <c r="A27" s="780" t="s">
        <v>171</v>
      </c>
      <c r="B27" s="772" t="s">
        <v>338</v>
      </c>
      <c r="C27" s="821">
        <v>0.45689999999999997</v>
      </c>
      <c r="D27" s="785"/>
      <c r="E27" s="785"/>
      <c r="F27" s="785"/>
      <c r="G27" s="785"/>
      <c r="H27" s="786"/>
      <c r="J27" s="817"/>
      <c r="K27" s="817"/>
    </row>
    <row r="28" spans="1:13" ht="15" customHeight="1" x14ac:dyDescent="0.2">
      <c r="A28" s="789" t="s">
        <v>268</v>
      </c>
      <c r="B28" s="790" t="s">
        <v>338</v>
      </c>
      <c r="C28" s="825">
        <v>0.1212</v>
      </c>
      <c r="D28"/>
      <c r="E28" s="750">
        <v>0.1212</v>
      </c>
      <c r="F28"/>
      <c r="G28" s="750">
        <v>0.1212</v>
      </c>
      <c r="H28" s="787"/>
      <c r="J28" s="817"/>
      <c r="K28" s="817"/>
    </row>
    <row r="29" spans="1:13" ht="15" customHeight="1" x14ac:dyDescent="0.2">
      <c r="A29" s="771" t="s">
        <v>269</v>
      </c>
      <c r="B29" s="772" t="s">
        <v>338</v>
      </c>
      <c r="C29" s="826">
        <v>8.9999999999999998E-4</v>
      </c>
      <c r="D29" s="768"/>
      <c r="E29" s="819">
        <v>8.9999999999999998E-4</v>
      </c>
      <c r="F29" s="768"/>
      <c r="G29" s="819">
        <v>8.9999999999999998E-4</v>
      </c>
      <c r="H29" s="787"/>
      <c r="I29" s="839"/>
      <c r="J29" s="817"/>
      <c r="K29" s="817"/>
    </row>
    <row r="30" spans="1:13" ht="16.5" customHeight="1" x14ac:dyDescent="0.2">
      <c r="A30" s="782" t="s">
        <v>174</v>
      </c>
      <c r="C30" s="821"/>
      <c r="D30" s="785"/>
      <c r="E30" s="785"/>
      <c r="F30" s="785"/>
      <c r="G30" s="785"/>
      <c r="H30" s="786"/>
    </row>
    <row r="31" spans="1:13" ht="15" customHeight="1" x14ac:dyDescent="0.2">
      <c r="A31" s="780" t="s">
        <v>175</v>
      </c>
      <c r="B31" s="772" t="s">
        <v>338</v>
      </c>
      <c r="C31" s="821">
        <v>0.17829999999999999</v>
      </c>
      <c r="D31" s="785"/>
      <c r="E31" s="785">
        <v>0.17829999999999999</v>
      </c>
      <c r="F31" s="785"/>
      <c r="G31" s="785">
        <v>0.17829999999999999</v>
      </c>
      <c r="H31" s="791"/>
      <c r="J31" s="817"/>
      <c r="K31" s="817"/>
    </row>
    <row r="32" spans="1:13" ht="15" customHeight="1" x14ac:dyDescent="0.2">
      <c r="A32" s="780" t="s">
        <v>176</v>
      </c>
      <c r="B32" s="772" t="s">
        <v>338</v>
      </c>
      <c r="C32" s="821"/>
      <c r="D32" s="785"/>
      <c r="E32" s="785"/>
      <c r="F32" s="785"/>
      <c r="G32" s="830"/>
      <c r="H32" s="786"/>
      <c r="I32" s="785"/>
      <c r="J32" s="817"/>
      <c r="K32" s="817"/>
    </row>
    <row r="33" spans="1:18" ht="15" customHeight="1" x14ac:dyDescent="0.2">
      <c r="A33" s="780" t="s">
        <v>200</v>
      </c>
      <c r="B33" s="772" t="s">
        <v>338</v>
      </c>
      <c r="C33" s="821"/>
      <c r="D33" s="785"/>
      <c r="E33" s="785"/>
      <c r="F33" s="785"/>
      <c r="G33" s="830"/>
      <c r="H33" s="786"/>
      <c r="I33" s="785"/>
      <c r="J33" s="817"/>
      <c r="K33" s="817"/>
    </row>
    <row r="34" spans="1:18" ht="15" customHeight="1" x14ac:dyDescent="0.2">
      <c r="A34" s="780" t="s">
        <v>337</v>
      </c>
      <c r="B34" s="772" t="s">
        <v>338</v>
      </c>
      <c r="C34" s="821">
        <v>1.6999999999999999E-3</v>
      </c>
      <c r="D34" s="785"/>
      <c r="E34" s="785">
        <v>1.6999999999999999E-3</v>
      </c>
      <c r="F34" s="785"/>
      <c r="G34" s="830">
        <v>1.6999999999999999E-3</v>
      </c>
      <c r="H34" s="791"/>
      <c r="J34" s="817"/>
      <c r="K34" s="817"/>
      <c r="O34" s="844"/>
      <c r="P34" s="844"/>
      <c r="Q34" s="844"/>
    </row>
    <row r="35" spans="1:18" ht="15" customHeight="1" x14ac:dyDescent="0.2">
      <c r="A35" s="780" t="s">
        <v>340</v>
      </c>
      <c r="B35" s="772" t="s">
        <v>338</v>
      </c>
      <c r="C35" s="821">
        <v>4.2799999999999998E-2</v>
      </c>
      <c r="D35" s="785"/>
      <c r="E35" s="785">
        <v>4.2799999999999998E-2</v>
      </c>
      <c r="F35" s="785"/>
      <c r="G35" s="830">
        <v>4.2799999999999998E-2</v>
      </c>
      <c r="H35" s="791"/>
      <c r="I35" s="785"/>
      <c r="J35" s="817"/>
      <c r="K35" s="817"/>
    </row>
    <row r="36" spans="1:18" ht="15" customHeight="1" x14ac:dyDescent="0.2">
      <c r="A36" s="771" t="s">
        <v>335</v>
      </c>
      <c r="B36" s="772" t="s">
        <v>338</v>
      </c>
      <c r="C36" s="827">
        <v>3.6400000000000002E-2</v>
      </c>
      <c r="D36"/>
      <c r="E36" s="2">
        <v>3.6400000000000002E-2</v>
      </c>
      <c r="F36"/>
      <c r="G36" s="2">
        <v>3.6400000000000002E-2</v>
      </c>
      <c r="H36" s="791"/>
      <c r="J36" s="817"/>
      <c r="K36" s="817"/>
    </row>
    <row r="37" spans="1:18" ht="15" customHeight="1" x14ac:dyDescent="0.2">
      <c r="A37" s="782" t="s">
        <v>182</v>
      </c>
      <c r="C37" s="821"/>
      <c r="D37" s="785"/>
      <c r="E37" s="830"/>
      <c r="F37" s="785"/>
      <c r="G37" s="830"/>
      <c r="H37" s="791"/>
    </row>
    <row r="38" spans="1:18" ht="15" customHeight="1" x14ac:dyDescent="0.2">
      <c r="A38" s="780" t="s">
        <v>211</v>
      </c>
      <c r="B38" s="772" t="s">
        <v>338</v>
      </c>
      <c r="C38" s="821">
        <v>1.2453000000000001</v>
      </c>
      <c r="D38" s="785"/>
      <c r="E38" s="785">
        <v>1.2453000000000001</v>
      </c>
      <c r="F38" s="785"/>
      <c r="G38" s="830">
        <v>1.2453000000000001</v>
      </c>
      <c r="H38" s="791"/>
      <c r="J38" s="817"/>
      <c r="K38" s="817"/>
      <c r="M38" s="818"/>
    </row>
    <row r="39" spans="1:18" ht="15" customHeight="1" x14ac:dyDescent="0.2">
      <c r="A39" s="780" t="s">
        <v>212</v>
      </c>
      <c r="B39" s="772" t="s">
        <v>338</v>
      </c>
      <c r="C39" s="821">
        <v>0.09</v>
      </c>
      <c r="D39" s="785"/>
      <c r="E39" s="785">
        <v>0.09</v>
      </c>
      <c r="F39" s="785"/>
      <c r="G39" s="830">
        <v>0.09</v>
      </c>
      <c r="H39" s="791"/>
      <c r="J39" s="817"/>
      <c r="K39" s="817"/>
      <c r="M39" s="818"/>
    </row>
    <row r="40" spans="1:18" ht="15" customHeight="1" x14ac:dyDescent="0.2">
      <c r="A40" s="780" t="s">
        <v>213</v>
      </c>
      <c r="B40" s="772" t="s">
        <v>338</v>
      </c>
      <c r="C40" s="821">
        <v>0.14960000000000001</v>
      </c>
      <c r="D40" s="785"/>
      <c r="E40" s="785">
        <v>0.14960000000000001</v>
      </c>
      <c r="F40" s="785"/>
      <c r="G40" s="830">
        <v>0.14960000000000001</v>
      </c>
      <c r="H40" s="791"/>
      <c r="J40" s="817"/>
      <c r="K40" s="817"/>
      <c r="M40" s="818"/>
    </row>
    <row r="41" spans="1:18" ht="15" customHeight="1" x14ac:dyDescent="0.2">
      <c r="A41" s="780" t="s">
        <v>214</v>
      </c>
      <c r="B41" s="772" t="s">
        <v>338</v>
      </c>
      <c r="C41" s="821">
        <v>0.26369999999999999</v>
      </c>
      <c r="D41" s="785"/>
      <c r="E41" s="785">
        <v>0.1258</v>
      </c>
      <c r="F41" s="785"/>
      <c r="G41" s="830">
        <v>1.47E-2</v>
      </c>
      <c r="H41" s="791"/>
      <c r="J41" s="817"/>
      <c r="K41" s="817"/>
      <c r="L41" s="857"/>
      <c r="M41" s="818"/>
    </row>
    <row r="42" spans="1:18" ht="15" customHeight="1" x14ac:dyDescent="0.2">
      <c r="A42" s="792" t="s">
        <v>177</v>
      </c>
      <c r="B42" s="793" t="s">
        <v>338</v>
      </c>
      <c r="C42" s="828">
        <v>0.40039999999999998</v>
      </c>
      <c r="D42" s="794"/>
      <c r="E42" s="794">
        <v>0.40039999999999998</v>
      </c>
      <c r="F42" s="794"/>
      <c r="G42" s="845">
        <v>0.40039999999999998</v>
      </c>
      <c r="H42" s="795"/>
      <c r="J42" s="817"/>
      <c r="K42" s="817"/>
    </row>
    <row r="43" spans="1:18" ht="15" customHeight="1" thickBot="1" x14ac:dyDescent="0.25">
      <c r="A43" s="766" t="s">
        <v>178</v>
      </c>
      <c r="B43" s="796"/>
      <c r="C43" s="829">
        <f>11.0919+0.0546-0.0026+0.2293-0.0122+0.7497+1.3267+0.8449+0.7732+0.4569+0.1212+0.0009+0.1783+0.0017+0.0428+0.0364+1.2453+0.09+0.1496+0.2637+0.4004</f>
        <v>18.0427</v>
      </c>
      <c r="D43" s="797"/>
      <c r="E43" s="829">
        <f>11.0919+0.0546-0.0026+0.2293-0.0122+0.7497+1.3267+0.9259+0.1212+0.0009+0.1783+0.0017+0.0428+0.0364+1.2453+0.09+0.1496+0.1258+0.4004</f>
        <v>16.755700000000008</v>
      </c>
      <c r="F43" s="796"/>
      <c r="G43" s="829">
        <f>11.0919+0.0546-0.0026+0.2293-0.0122+1.3267+0.1212+0.0009+0.1783+0.0017+0.0428+0.0364+1.2453+0.09+0.1496+0.0147+0.4004</f>
        <v>14.969000000000001</v>
      </c>
      <c r="H43" s="787"/>
      <c r="J43" s="846"/>
      <c r="K43" s="846"/>
      <c r="L43" s="829"/>
    </row>
    <row r="44" spans="1:18" ht="15" customHeight="1" thickTop="1" x14ac:dyDescent="0.2">
      <c r="A44" s="5" t="s">
        <v>179</v>
      </c>
      <c r="B44" s="807" t="s">
        <v>166</v>
      </c>
      <c r="C44" s="808">
        <f>C26</f>
        <v>5</v>
      </c>
      <c r="D44" s="808"/>
      <c r="E44" s="808">
        <f>E23+E26</f>
        <v>68.87</v>
      </c>
      <c r="F44" s="808"/>
      <c r="G44" s="808">
        <f>G23+G26</f>
        <v>68.87</v>
      </c>
      <c r="H44" s="809"/>
      <c r="J44" s="817"/>
      <c r="K44" s="817"/>
    </row>
    <row r="45" spans="1:18" ht="15" customHeight="1" thickBot="1" x14ac:dyDescent="0.25">
      <c r="A45" s="798" t="s">
        <v>346</v>
      </c>
      <c r="B45" s="814" t="s">
        <v>339</v>
      </c>
      <c r="C45" s="804"/>
      <c r="D45" s="804"/>
      <c r="E45" s="804"/>
      <c r="F45" s="804"/>
      <c r="G45" s="805">
        <f>G20</f>
        <v>267.89999999999998</v>
      </c>
      <c r="H45" s="806"/>
      <c r="I45" s="788"/>
      <c r="J45" s="952"/>
      <c r="K45" s="817"/>
    </row>
    <row r="46" spans="1:18" ht="13.5" customHeight="1" thickTop="1" x14ac:dyDescent="0.2">
      <c r="A46" s="780"/>
      <c r="C46" s="799"/>
      <c r="E46" s="799"/>
      <c r="G46" s="799"/>
      <c r="H46" s="781"/>
      <c r="I46" s="788"/>
      <c r="J46" s="952"/>
      <c r="K46" s="817"/>
    </row>
    <row r="47" spans="1:18" s="801" customFormat="1" ht="15" customHeight="1" x14ac:dyDescent="0.2">
      <c r="A47" s="800" t="s">
        <v>342</v>
      </c>
      <c r="B47" s="801" t="s">
        <v>343</v>
      </c>
      <c r="C47" s="816"/>
      <c r="E47" s="802" t="s">
        <v>344</v>
      </c>
      <c r="F47" s="802" t="s">
        <v>193</v>
      </c>
      <c r="G47" s="802"/>
      <c r="H47" s="791"/>
      <c r="J47" s="847"/>
      <c r="K47" s="847"/>
      <c r="L47" s="849"/>
      <c r="R47" s="850"/>
    </row>
    <row r="48" spans="1:18" ht="15" customHeight="1" x14ac:dyDescent="0.2">
      <c r="A48" s="800"/>
      <c r="B48" s="801"/>
      <c r="C48" s="802"/>
      <c r="E48" s="802"/>
      <c r="F48" s="802" t="s">
        <v>193</v>
      </c>
      <c r="G48" s="802"/>
      <c r="H48" s="781"/>
      <c r="J48" s="817"/>
      <c r="K48" s="817"/>
    </row>
    <row r="49" spans="1:18" s="852" customFormat="1" ht="15" customHeight="1" x14ac:dyDescent="0.2">
      <c r="A49" s="810" t="s">
        <v>341</v>
      </c>
      <c r="B49" s="851"/>
      <c r="C49" s="811"/>
      <c r="D49" s="811"/>
      <c r="E49" s="811"/>
      <c r="F49" s="811"/>
      <c r="G49" s="811"/>
      <c r="H49" s="815"/>
      <c r="J49" s="953"/>
      <c r="K49" s="853"/>
      <c r="L49" s="854"/>
      <c r="R49" s="855"/>
    </row>
    <row r="50" spans="1:18" s="801" customFormat="1" ht="15" customHeight="1" thickBot="1" x14ac:dyDescent="0.25">
      <c r="A50" s="1053" t="s">
        <v>345</v>
      </c>
      <c r="B50" s="1054"/>
      <c r="C50" s="1054"/>
      <c r="D50" s="1054"/>
      <c r="E50" s="1054"/>
      <c r="F50" s="1054"/>
      <c r="G50" s="1054"/>
      <c r="H50" s="1055"/>
      <c r="J50" s="848"/>
      <c r="K50" s="848"/>
      <c r="L50" s="849"/>
      <c r="R50" s="850"/>
    </row>
    <row r="54" spans="1:18" ht="15" customHeight="1" x14ac:dyDescent="0.2">
      <c r="C54" s="785"/>
      <c r="D54" s="785"/>
      <c r="E54" s="785"/>
    </row>
    <row r="59" spans="1:18" ht="15" customHeight="1" x14ac:dyDescent="0.2">
      <c r="J59" s="954"/>
      <c r="K59" s="954"/>
    </row>
  </sheetData>
  <mergeCells count="4">
    <mergeCell ref="A8:B8"/>
    <mergeCell ref="D8:F8"/>
    <mergeCell ref="G8:H8"/>
    <mergeCell ref="A50:H50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-0.249977111117893"/>
  </sheetPr>
  <dimension ref="A1:Z763"/>
  <sheetViews>
    <sheetView topLeftCell="A749" zoomScale="105" zoomScaleNormal="105" workbookViewId="0">
      <selection activeCell="G754" sqref="G754"/>
    </sheetView>
  </sheetViews>
  <sheetFormatPr defaultRowHeight="12.75" x14ac:dyDescent="0.2"/>
  <cols>
    <col min="1" max="1" width="35" style="30" customWidth="1"/>
    <col min="2" max="2" width="12.140625" style="30" customWidth="1"/>
    <col min="3" max="3" width="11.42578125" style="30" customWidth="1"/>
    <col min="4" max="4" width="5.28515625" style="30" customWidth="1"/>
    <col min="5" max="5" width="10.7109375" style="30" customWidth="1"/>
    <col min="6" max="6" width="11.85546875" style="30" hidden="1" customWidth="1"/>
    <col min="7" max="7" width="13.85546875" style="30" customWidth="1"/>
    <col min="8" max="8" width="1.28515625" style="30" customWidth="1"/>
    <col min="9" max="9" width="16.7109375" style="30" bestFit="1" customWidth="1"/>
    <col min="10" max="10" width="12.42578125" style="30" bestFit="1" customWidth="1"/>
    <col min="11" max="11" width="12.7109375" style="30" bestFit="1" customWidth="1"/>
    <col min="12" max="12" width="15.28515625" style="80" bestFit="1" customWidth="1"/>
    <col min="13" max="13" width="15.5703125" style="30" customWidth="1"/>
    <col min="14" max="14" width="10" style="30" customWidth="1"/>
    <col min="15" max="15" width="18.28515625" style="30" customWidth="1"/>
    <col min="16" max="16" width="13.85546875" style="30" customWidth="1"/>
    <col min="17" max="17" width="10.5703125" style="30" bestFit="1" customWidth="1"/>
    <col min="18" max="18" width="13.7109375" style="30" customWidth="1"/>
    <col min="19" max="19" width="12.85546875" style="30" customWidth="1"/>
    <col min="20" max="20" width="12.28515625" style="30" customWidth="1"/>
    <col min="21" max="21" width="12.5703125" style="30" customWidth="1"/>
    <col min="22" max="22" width="9.140625" style="30"/>
    <col min="23" max="23" width="16.42578125" style="30" customWidth="1"/>
    <col min="24" max="24" width="17.5703125" style="30" customWidth="1"/>
    <col min="25" max="25" width="16" style="30" customWidth="1"/>
    <col min="26" max="26" width="11.28515625" style="30" bestFit="1" customWidth="1"/>
    <col min="27" max="16384" width="9.140625" style="30"/>
  </cols>
  <sheetData>
    <row r="1" spans="1:25" ht="13.5" hidden="1" thickBot="1" x14ac:dyDescent="0.25">
      <c r="A1" s="79" t="s">
        <v>64</v>
      </c>
      <c r="B1" s="79"/>
      <c r="C1" s="79"/>
      <c r="D1" s="79"/>
      <c r="E1" s="79"/>
      <c r="F1" s="79"/>
      <c r="G1" s="79"/>
      <c r="H1" s="79"/>
    </row>
    <row r="2" spans="1:25" ht="13.5" hidden="1" thickBot="1" x14ac:dyDescent="0.25">
      <c r="A2" s="79" t="s">
        <v>0</v>
      </c>
      <c r="B2" s="79"/>
      <c r="C2" s="79"/>
      <c r="D2" s="79"/>
      <c r="E2" s="79"/>
      <c r="F2" s="79"/>
      <c r="G2" s="79"/>
      <c r="H2" s="79"/>
    </row>
    <row r="3" spans="1:25" ht="13.5" hidden="1" thickBot="1" x14ac:dyDescent="0.25">
      <c r="A3" s="79"/>
      <c r="B3" s="79"/>
      <c r="C3" s="79"/>
      <c r="D3" s="79"/>
      <c r="E3" s="79"/>
      <c r="F3" s="79"/>
      <c r="G3" s="79"/>
      <c r="H3" s="79"/>
    </row>
    <row r="4" spans="1:25" ht="13.5" hidden="1" thickBot="1" x14ac:dyDescent="0.25">
      <c r="A4" s="81" t="s">
        <v>60</v>
      </c>
      <c r="B4" s="79"/>
      <c r="C4" s="79"/>
      <c r="D4" s="79"/>
      <c r="E4" s="79"/>
      <c r="F4" s="79"/>
      <c r="G4" s="79"/>
      <c r="H4" s="79"/>
      <c r="W4" s="34" t="s">
        <v>143</v>
      </c>
      <c r="X4" s="34" t="s">
        <v>144</v>
      </c>
      <c r="Y4" s="34" t="s">
        <v>1</v>
      </c>
    </row>
    <row r="5" spans="1:25" ht="13.5" hidden="1" thickBot="1" x14ac:dyDescent="0.25">
      <c r="A5" s="82" t="s">
        <v>53</v>
      </c>
      <c r="B5" s="79"/>
      <c r="C5" s="79"/>
      <c r="D5" s="79"/>
      <c r="E5" s="79"/>
      <c r="F5" s="79"/>
      <c r="G5" s="79"/>
      <c r="H5" s="79"/>
      <c r="W5" s="83" t="s">
        <v>145</v>
      </c>
      <c r="X5" s="83" t="s">
        <v>145</v>
      </c>
      <c r="Y5" s="83" t="s">
        <v>145</v>
      </c>
    </row>
    <row r="6" spans="1:25" ht="13.5" hidden="1" thickBot="1" x14ac:dyDescent="0.25">
      <c r="A6" s="82"/>
      <c r="B6" s="79"/>
      <c r="C6" s="79"/>
      <c r="D6" s="79"/>
      <c r="E6" s="79"/>
      <c r="F6" s="79"/>
      <c r="G6" s="79"/>
      <c r="H6" s="79"/>
      <c r="L6" s="84" t="s">
        <v>146</v>
      </c>
      <c r="M6" s="73" t="s">
        <v>6</v>
      </c>
      <c r="N6" s="73"/>
      <c r="O6" s="84" t="s">
        <v>146</v>
      </c>
      <c r="P6" s="73" t="s">
        <v>6</v>
      </c>
      <c r="R6" s="85" t="s">
        <v>147</v>
      </c>
      <c r="S6" s="85" t="s">
        <v>147</v>
      </c>
      <c r="T6" s="85" t="s">
        <v>147</v>
      </c>
      <c r="U6" s="85" t="s">
        <v>147</v>
      </c>
      <c r="W6" s="86">
        <f>0.2*700</f>
        <v>140</v>
      </c>
      <c r="X6" s="86">
        <f>0.31*700</f>
        <v>217</v>
      </c>
      <c r="Y6" s="86">
        <f>0.37*2100</f>
        <v>777</v>
      </c>
    </row>
    <row r="7" spans="1:25" ht="16.5" hidden="1" customHeight="1" x14ac:dyDescent="0.2">
      <c r="A7" s="955"/>
      <c r="B7" s="956"/>
      <c r="C7" s="87" t="s">
        <v>6</v>
      </c>
      <c r="D7" s="957" t="s">
        <v>47</v>
      </c>
      <c r="E7" s="958"/>
      <c r="F7" s="959"/>
      <c r="G7" s="957" t="s">
        <v>13</v>
      </c>
      <c r="H7" s="959"/>
      <c r="I7" s="87" t="s">
        <v>6</v>
      </c>
      <c r="J7" s="87" t="s">
        <v>47</v>
      </c>
      <c r="K7" s="87" t="s">
        <v>13</v>
      </c>
      <c r="L7" s="80" t="s">
        <v>130</v>
      </c>
      <c r="M7" s="88" t="s">
        <v>148</v>
      </c>
      <c r="O7" s="80" t="s">
        <v>130</v>
      </c>
      <c r="P7" s="80" t="s">
        <v>130</v>
      </c>
      <c r="R7" s="80" t="s">
        <v>130</v>
      </c>
      <c r="S7" s="80" t="s">
        <v>130</v>
      </c>
      <c r="T7" s="80" t="s">
        <v>130</v>
      </c>
      <c r="U7" s="80" t="s">
        <v>130</v>
      </c>
      <c r="W7" s="89" t="s">
        <v>130</v>
      </c>
      <c r="X7" s="89" t="s">
        <v>130</v>
      </c>
      <c r="Y7" s="89" t="s">
        <v>130</v>
      </c>
    </row>
    <row r="8" spans="1:25" ht="13.5" hidden="1" thickBot="1" x14ac:dyDescent="0.25">
      <c r="A8" s="90" t="s">
        <v>149</v>
      </c>
      <c r="B8" s="79"/>
      <c r="C8" s="91"/>
      <c r="D8" s="91"/>
      <c r="E8" s="91"/>
      <c r="F8" s="91"/>
      <c r="G8" s="91"/>
      <c r="H8" s="92"/>
      <c r="L8" s="93">
        <v>6</v>
      </c>
      <c r="M8" s="93">
        <v>6</v>
      </c>
      <c r="O8" s="93">
        <v>20</v>
      </c>
      <c r="P8" s="93">
        <v>101</v>
      </c>
      <c r="R8" s="93">
        <v>101</v>
      </c>
      <c r="S8" s="93">
        <v>25</v>
      </c>
      <c r="T8" s="93">
        <v>1007</v>
      </c>
      <c r="U8" s="93">
        <v>1004</v>
      </c>
      <c r="W8" s="94">
        <f>(892-880)*700</f>
        <v>8400</v>
      </c>
      <c r="X8" s="94">
        <f>(949-931)*700</f>
        <v>12600</v>
      </c>
      <c r="Y8" s="94">
        <f>(2467-2376)*2100</f>
        <v>191100</v>
      </c>
    </row>
    <row r="9" spans="1:25" ht="13.5" hidden="1" thickBot="1" x14ac:dyDescent="0.25">
      <c r="A9" s="63" t="s">
        <v>150</v>
      </c>
      <c r="B9" s="79" t="s">
        <v>135</v>
      </c>
      <c r="C9" s="95" t="e">
        <f>C13-C10-C11-C12</f>
        <v>#REF!</v>
      </c>
      <c r="D9" s="95"/>
      <c r="E9" s="95" t="e">
        <f>E13-E10-E11-E12</f>
        <v>#REF!</v>
      </c>
      <c r="F9" s="95"/>
      <c r="G9" s="95" t="e">
        <f>G13-G10-G11-G12</f>
        <v>#REF!</v>
      </c>
      <c r="H9" s="96"/>
      <c r="I9" s="30">
        <v>4.0156999999999998</v>
      </c>
      <c r="J9" s="64">
        <v>4.0156999999999998</v>
      </c>
      <c r="K9" s="64">
        <v>4.0156999999999998</v>
      </c>
      <c r="L9" s="80">
        <f>L8*(I9+I11+I12)</f>
        <v>27.730199999999996</v>
      </c>
      <c r="M9" s="80">
        <f>M8*(I9+I11+I12)</f>
        <v>27.730199999999996</v>
      </c>
      <c r="O9" s="80">
        <f>O8*(I9+I11+I12)</f>
        <v>92.433999999999997</v>
      </c>
      <c r="P9" s="80">
        <f>P8*(I9+I11+I12)</f>
        <v>466.79169999999999</v>
      </c>
      <c r="R9" s="80">
        <f>R8*(J9+J11+J12)</f>
        <v>466.79169999999999</v>
      </c>
      <c r="S9" s="80">
        <f>S8*(J9+J11+J12)</f>
        <v>115.54249999999999</v>
      </c>
      <c r="T9" s="80">
        <f>T8*(J9+J11+J12)</f>
        <v>4654.0518999999995</v>
      </c>
      <c r="U9" s="80">
        <f>U8*(J9+J11+J12)</f>
        <v>4640.1867999999995</v>
      </c>
      <c r="W9" s="97">
        <f>W8*(K9+K11+K12)</f>
        <v>38822.28</v>
      </c>
      <c r="X9" s="97">
        <f>X8*(K9+K11+K12)</f>
        <v>58233.42</v>
      </c>
      <c r="Y9" s="97">
        <f>Y8*(K9+K11+K12)</f>
        <v>883206.87</v>
      </c>
    </row>
    <row r="10" spans="1:25" ht="13.5" hidden="1" thickBot="1" x14ac:dyDescent="0.25">
      <c r="A10" s="63" t="s">
        <v>151</v>
      </c>
      <c r="B10" s="79" t="s">
        <v>135</v>
      </c>
      <c r="C10" s="95">
        <v>1.77E-2</v>
      </c>
      <c r="D10" s="95"/>
      <c r="E10" s="95">
        <v>1.77E-2</v>
      </c>
      <c r="F10" s="95"/>
      <c r="G10" s="95">
        <v>1.77E-2</v>
      </c>
      <c r="H10" s="98"/>
      <c r="I10" s="30">
        <v>1.77E-2</v>
      </c>
      <c r="J10" s="64">
        <v>1.77E-2</v>
      </c>
      <c r="K10" s="30">
        <v>1.77E-2</v>
      </c>
      <c r="L10" s="80">
        <f>L8*I10</f>
        <v>0.1062</v>
      </c>
      <c r="M10" s="80">
        <f>M8*I10</f>
        <v>0.1062</v>
      </c>
      <c r="O10" s="80">
        <f>O8*I10</f>
        <v>0.35399999999999998</v>
      </c>
      <c r="P10" s="80">
        <f>P8*I10</f>
        <v>1.7877000000000001</v>
      </c>
      <c r="R10" s="80">
        <f>R8*J10</f>
        <v>1.7877000000000001</v>
      </c>
      <c r="S10" s="80">
        <f>S8*J10</f>
        <v>0.4425</v>
      </c>
      <c r="T10" s="80">
        <f>T8*J10</f>
        <v>17.823900000000002</v>
      </c>
      <c r="U10" s="80">
        <f>U8*J10</f>
        <v>17.770800000000001</v>
      </c>
      <c r="W10" s="97">
        <f>W8*K10</f>
        <v>148.68</v>
      </c>
      <c r="X10" s="97">
        <f>X8*K10</f>
        <v>223.02</v>
      </c>
      <c r="Y10" s="97">
        <f>Y8*K10</f>
        <v>3382.4700000000003</v>
      </c>
    </row>
    <row r="11" spans="1:25" ht="13.5" hidden="1" thickBot="1" x14ac:dyDescent="0.25">
      <c r="A11" s="63" t="s">
        <v>152</v>
      </c>
      <c r="B11" s="79" t="s">
        <v>135</v>
      </c>
      <c r="C11" s="95">
        <v>0.48470000000000002</v>
      </c>
      <c r="D11" s="95"/>
      <c r="E11" s="95">
        <v>0.48470000000000002</v>
      </c>
      <c r="F11" s="95"/>
      <c r="G11" s="95">
        <v>0.48470000000000002</v>
      </c>
      <c r="H11" s="98"/>
      <c r="I11" s="30">
        <v>0.48470000000000002</v>
      </c>
      <c r="J11" s="64">
        <v>0.48470000000000002</v>
      </c>
      <c r="K11" s="64">
        <v>0.48470000000000002</v>
      </c>
      <c r="M11" s="80"/>
      <c r="O11" s="80"/>
      <c r="P11" s="80"/>
      <c r="R11" s="80"/>
      <c r="S11" s="80"/>
      <c r="T11" s="80"/>
      <c r="U11" s="80"/>
      <c r="W11" s="97"/>
      <c r="X11" s="97"/>
      <c r="Y11" s="97"/>
    </row>
    <row r="12" spans="1:25" ht="13.5" hidden="1" thickBot="1" x14ac:dyDescent="0.25">
      <c r="A12" s="63" t="s">
        <v>153</v>
      </c>
      <c r="B12" s="79" t="s">
        <v>135</v>
      </c>
      <c r="C12" s="95">
        <v>0.12130000000000001</v>
      </c>
      <c r="D12" s="95"/>
      <c r="E12" s="95">
        <v>0.12130000000000001</v>
      </c>
      <c r="F12" s="95"/>
      <c r="G12" s="95">
        <v>0.12130000000000001</v>
      </c>
      <c r="H12" s="98"/>
      <c r="I12" s="30">
        <v>0.12130000000000001</v>
      </c>
      <c r="J12" s="64">
        <v>0.12130000000000001</v>
      </c>
      <c r="K12" s="64">
        <v>0.12130000000000001</v>
      </c>
      <c r="M12" s="80"/>
      <c r="O12" s="80"/>
      <c r="P12" s="80"/>
      <c r="R12" s="80"/>
      <c r="S12" s="80"/>
      <c r="T12" s="80"/>
      <c r="U12" s="80"/>
      <c r="W12" s="97"/>
      <c r="X12" s="97"/>
      <c r="Y12" s="97"/>
    </row>
    <row r="13" spans="1:25" ht="13.5" hidden="1" thickBot="1" x14ac:dyDescent="0.25">
      <c r="A13" s="63" t="s">
        <v>154</v>
      </c>
      <c r="B13" s="79"/>
      <c r="C13" s="99" t="e">
        <f>#REF!</f>
        <v>#REF!</v>
      </c>
      <c r="D13" s="99"/>
      <c r="E13" s="99" t="e">
        <f>C13</f>
        <v>#REF!</v>
      </c>
      <c r="F13" s="99"/>
      <c r="G13" s="99" t="e">
        <f>C13</f>
        <v>#REF!</v>
      </c>
      <c r="H13" s="100"/>
      <c r="M13" s="80"/>
      <c r="O13" s="80"/>
      <c r="P13" s="80"/>
      <c r="R13" s="80"/>
      <c r="S13" s="80"/>
      <c r="T13" s="80"/>
      <c r="U13" s="80"/>
      <c r="W13" s="97"/>
      <c r="X13" s="97"/>
      <c r="Y13" s="97"/>
    </row>
    <row r="14" spans="1:25" ht="13.5" hidden="1" thickBot="1" x14ac:dyDescent="0.25">
      <c r="A14" s="90" t="s">
        <v>155</v>
      </c>
      <c r="B14" s="79" t="s">
        <v>135</v>
      </c>
      <c r="C14" s="95">
        <v>-0.3</v>
      </c>
      <c r="D14" s="95"/>
      <c r="E14" s="95"/>
      <c r="F14" s="95"/>
      <c r="G14" s="95"/>
      <c r="H14" s="96"/>
      <c r="I14" s="64">
        <v>-0.3</v>
      </c>
      <c r="J14" s="101"/>
      <c r="K14" s="101"/>
      <c r="L14" s="80">
        <f>L8*I14</f>
        <v>-1.7999999999999998</v>
      </c>
      <c r="M14" s="80">
        <f>M8*I14</f>
        <v>-1.7999999999999998</v>
      </c>
      <c r="O14" s="102">
        <f>O8*I14</f>
        <v>-6</v>
      </c>
      <c r="P14" s="102">
        <f>P8*I14</f>
        <v>-30.299999999999997</v>
      </c>
      <c r="R14" s="102">
        <f>R8*J14</f>
        <v>0</v>
      </c>
      <c r="S14" s="102">
        <f>S8*K14</f>
        <v>0</v>
      </c>
      <c r="T14" s="102">
        <f>T8*J14</f>
        <v>0</v>
      </c>
      <c r="U14" s="102">
        <f>U8*J14</f>
        <v>0</v>
      </c>
      <c r="W14" s="103">
        <f>W8*K14</f>
        <v>0</v>
      </c>
      <c r="X14" s="103">
        <f>X8*K14</f>
        <v>0</v>
      </c>
      <c r="Y14" s="103">
        <f>Y8*K14</f>
        <v>0</v>
      </c>
    </row>
    <row r="15" spans="1:25" ht="13.5" hidden="1" thickBot="1" x14ac:dyDescent="0.25">
      <c r="A15" s="90" t="s">
        <v>156</v>
      </c>
      <c r="B15" s="79"/>
      <c r="C15" s="95"/>
      <c r="D15" s="95"/>
      <c r="E15" s="95"/>
      <c r="F15" s="95"/>
      <c r="G15" s="95"/>
      <c r="H15" s="96"/>
      <c r="M15" s="80"/>
      <c r="O15" s="80"/>
      <c r="P15" s="80"/>
      <c r="R15" s="80"/>
      <c r="S15" s="80"/>
      <c r="T15" s="80"/>
      <c r="U15" s="80"/>
      <c r="W15" s="97"/>
      <c r="X15" s="97"/>
      <c r="Y15" s="97"/>
    </row>
    <row r="16" spans="1:25" ht="13.5" hidden="1" thickBot="1" x14ac:dyDescent="0.25">
      <c r="A16" s="63" t="s">
        <v>157</v>
      </c>
      <c r="B16" s="79" t="s">
        <v>158</v>
      </c>
      <c r="C16" s="95"/>
      <c r="D16" s="95"/>
      <c r="E16" s="95"/>
      <c r="F16" s="95"/>
      <c r="G16" s="95" t="e">
        <f>#REF!</f>
        <v>#REF!</v>
      </c>
      <c r="H16" s="98"/>
      <c r="K16" s="64">
        <v>225.13220000000001</v>
      </c>
      <c r="M16" s="80"/>
      <c r="O16" s="80"/>
      <c r="P16" s="80"/>
      <c r="R16" s="80"/>
      <c r="S16" s="80"/>
      <c r="T16" s="80"/>
      <c r="U16" s="80"/>
      <c r="W16" s="104">
        <f>W6*K16</f>
        <v>31518.508000000002</v>
      </c>
      <c r="X16" s="97">
        <f>X6*K16</f>
        <v>48853.687400000003</v>
      </c>
      <c r="Y16" s="97">
        <f>Y6*K16</f>
        <v>174927.7194</v>
      </c>
    </row>
    <row r="17" spans="1:25" ht="13.5" hidden="1" thickBot="1" x14ac:dyDescent="0.25">
      <c r="A17" s="63" t="s">
        <v>159</v>
      </c>
      <c r="B17" s="79" t="s">
        <v>135</v>
      </c>
      <c r="C17" s="95" t="e">
        <f>#REF!</f>
        <v>#REF!</v>
      </c>
      <c r="D17" s="95"/>
      <c r="E17" s="95" t="e">
        <f>#REF!</f>
        <v>#REF!</v>
      </c>
      <c r="F17" s="95"/>
      <c r="G17" s="95"/>
      <c r="H17" s="98"/>
      <c r="I17" s="30">
        <v>0.88190000000000002</v>
      </c>
      <c r="J17" s="64">
        <v>0.84189999999999998</v>
      </c>
      <c r="L17" s="80">
        <f>L8*I17</f>
        <v>5.2914000000000003</v>
      </c>
      <c r="M17" s="80">
        <f>M8*I17</f>
        <v>5.2914000000000003</v>
      </c>
      <c r="O17" s="80">
        <f>O8*I17</f>
        <v>17.638000000000002</v>
      </c>
      <c r="P17" s="80">
        <f>P8*I17</f>
        <v>89.071899999999999</v>
      </c>
      <c r="R17" s="80">
        <f>R8*J17</f>
        <v>85.031899999999993</v>
      </c>
      <c r="S17" s="80">
        <f>S8*J17</f>
        <v>21.047499999999999</v>
      </c>
      <c r="T17" s="80">
        <f>T8*J17</f>
        <v>847.79329999999993</v>
      </c>
      <c r="U17" s="80">
        <f>U8*J17</f>
        <v>845.26760000000002</v>
      </c>
      <c r="W17" s="97">
        <f>W8*K17</f>
        <v>0</v>
      </c>
      <c r="X17" s="97">
        <f>X8*K17</f>
        <v>0</v>
      </c>
      <c r="Y17" s="97">
        <f>Y8*K17</f>
        <v>0</v>
      </c>
    </row>
    <row r="18" spans="1:25" ht="13.5" hidden="1" thickBot="1" x14ac:dyDescent="0.25">
      <c r="A18" s="90" t="s">
        <v>160</v>
      </c>
      <c r="B18" s="79" t="s">
        <v>135</v>
      </c>
      <c r="C18" s="95" t="e">
        <f>#REF!</f>
        <v>#REF!</v>
      </c>
      <c r="D18" s="95"/>
      <c r="E18" s="95" t="e">
        <f>#REF!</f>
        <v>#REF!</v>
      </c>
      <c r="F18" s="95"/>
      <c r="G18" s="95">
        <v>0</v>
      </c>
      <c r="H18" s="98"/>
      <c r="I18" s="30">
        <v>0.72109999999999996</v>
      </c>
      <c r="J18" s="30">
        <v>0.71589999999999998</v>
      </c>
      <c r="K18" s="30">
        <v>0</v>
      </c>
      <c r="L18" s="80">
        <f>L8*I18</f>
        <v>4.3266</v>
      </c>
      <c r="M18" s="80">
        <f>M8*I18</f>
        <v>4.3266</v>
      </c>
      <c r="O18" s="80">
        <f>O8*I18</f>
        <v>14.421999999999999</v>
      </c>
      <c r="P18" s="80">
        <f>P8*I18</f>
        <v>72.831099999999992</v>
      </c>
      <c r="R18" s="80">
        <f>R8*J18</f>
        <v>72.305899999999994</v>
      </c>
      <c r="S18" s="80">
        <f>S8*J18</f>
        <v>17.897500000000001</v>
      </c>
      <c r="T18" s="80">
        <f>T8*J18</f>
        <v>720.91129999999998</v>
      </c>
      <c r="U18" s="80">
        <f>U8*J18</f>
        <v>718.7636</v>
      </c>
      <c r="W18" s="97">
        <f>W8*K18</f>
        <v>0</v>
      </c>
      <c r="X18" s="97">
        <f>X8*K18</f>
        <v>0</v>
      </c>
      <c r="Y18" s="97">
        <f>Y8*K18</f>
        <v>0</v>
      </c>
    </row>
    <row r="19" spans="1:25" ht="13.5" hidden="1" thickBot="1" x14ac:dyDescent="0.25">
      <c r="A19" s="63"/>
      <c r="B19" s="79"/>
      <c r="C19" s="95"/>
      <c r="D19" s="95"/>
      <c r="E19" s="95"/>
      <c r="F19" s="95"/>
      <c r="G19" s="95"/>
      <c r="H19" s="98"/>
      <c r="M19" s="80"/>
      <c r="O19" s="80"/>
      <c r="P19" s="80"/>
      <c r="R19" s="80"/>
      <c r="S19" s="80"/>
      <c r="T19" s="80"/>
      <c r="U19" s="80"/>
      <c r="W19" s="97"/>
      <c r="X19" s="97"/>
      <c r="Y19" s="97"/>
    </row>
    <row r="20" spans="1:25" ht="13.5" hidden="1" thickBot="1" x14ac:dyDescent="0.25">
      <c r="A20" s="90" t="s">
        <v>161</v>
      </c>
      <c r="B20" s="79"/>
      <c r="C20" s="95"/>
      <c r="D20" s="95"/>
      <c r="E20" s="95"/>
      <c r="F20" s="95"/>
      <c r="G20" s="95"/>
      <c r="H20" s="98"/>
      <c r="M20" s="80"/>
      <c r="O20" s="80"/>
      <c r="P20" s="80"/>
      <c r="R20" s="80"/>
      <c r="S20" s="80"/>
      <c r="T20" s="80"/>
      <c r="U20" s="80"/>
      <c r="W20" s="97"/>
      <c r="X20" s="97"/>
      <c r="Y20" s="97"/>
    </row>
    <row r="21" spans="1:25" ht="13.5" hidden="1" thickBot="1" x14ac:dyDescent="0.25">
      <c r="A21" s="63" t="s">
        <v>162</v>
      </c>
      <c r="B21" s="79" t="s">
        <v>158</v>
      </c>
      <c r="C21" s="95"/>
      <c r="D21" s="95"/>
      <c r="E21" s="95"/>
      <c r="F21" s="95"/>
      <c r="G21" s="95">
        <v>267.89999999999998</v>
      </c>
      <c r="H21" s="98"/>
      <c r="K21" s="30">
        <v>267.89999999999998</v>
      </c>
      <c r="M21" s="80"/>
      <c r="O21" s="80"/>
      <c r="P21" s="80"/>
      <c r="R21" s="80"/>
      <c r="S21" s="80"/>
      <c r="T21" s="80"/>
      <c r="U21" s="80"/>
      <c r="W21" s="105">
        <f>W6*K21</f>
        <v>37506</v>
      </c>
      <c r="X21" s="105">
        <f>X6*K21</f>
        <v>58134.299999999996</v>
      </c>
      <c r="Y21" s="105">
        <f>Y6*K21</f>
        <v>208158.3</v>
      </c>
    </row>
    <row r="22" spans="1:25" ht="13.5" hidden="1" thickBot="1" x14ac:dyDescent="0.25">
      <c r="A22" s="63" t="s">
        <v>163</v>
      </c>
      <c r="B22" s="79" t="s">
        <v>135</v>
      </c>
      <c r="C22" s="95">
        <v>0.84489999999999998</v>
      </c>
      <c r="D22" s="25"/>
      <c r="E22" s="25">
        <v>0.92589999999999995</v>
      </c>
      <c r="F22" s="95"/>
      <c r="G22" s="95"/>
      <c r="H22" s="98"/>
      <c r="I22" s="30">
        <v>0.84489999999999998</v>
      </c>
      <c r="J22" s="30">
        <v>0.92589999999999995</v>
      </c>
      <c r="L22" s="80">
        <f>L8*I22</f>
        <v>5.0693999999999999</v>
      </c>
      <c r="M22" s="80">
        <f>M8*I22</f>
        <v>5.0693999999999999</v>
      </c>
      <c r="O22" s="102">
        <f>O8*I22</f>
        <v>16.898</v>
      </c>
      <c r="P22" s="102">
        <f>P8*I22</f>
        <v>85.334900000000005</v>
      </c>
      <c r="R22" s="102">
        <f>R8*J22</f>
        <v>93.515899999999988</v>
      </c>
      <c r="S22" s="102">
        <f>S8*J22</f>
        <v>23.147499999999997</v>
      </c>
      <c r="T22" s="102">
        <f>T8*J22</f>
        <v>932.3812999999999</v>
      </c>
      <c r="U22" s="102">
        <f>U8*J22</f>
        <v>929.60359999999991</v>
      </c>
      <c r="W22" s="103">
        <f>W8*K22</f>
        <v>0</v>
      </c>
      <c r="X22" s="103">
        <f>X8*K22</f>
        <v>0</v>
      </c>
      <c r="Y22" s="103">
        <f>Y8*K22</f>
        <v>0</v>
      </c>
    </row>
    <row r="23" spans="1:25" ht="13.5" hidden="1" thickBot="1" x14ac:dyDescent="0.25">
      <c r="A23" s="90" t="s">
        <v>164</v>
      </c>
      <c r="B23" s="79"/>
      <c r="C23" s="95"/>
      <c r="D23" s="25"/>
      <c r="E23" s="95"/>
      <c r="F23" s="95"/>
      <c r="G23" s="95"/>
      <c r="H23" s="98"/>
      <c r="M23" s="80"/>
      <c r="O23" s="102"/>
      <c r="P23" s="102"/>
      <c r="R23" s="102"/>
      <c r="S23" s="102"/>
      <c r="T23" s="102"/>
      <c r="U23" s="102"/>
      <c r="W23" s="103"/>
      <c r="X23" s="103"/>
      <c r="Y23" s="103"/>
    </row>
    <row r="24" spans="1:25" ht="13.5" hidden="1" thickBot="1" x14ac:dyDescent="0.25">
      <c r="A24" s="63" t="s">
        <v>165</v>
      </c>
      <c r="B24" s="79" t="s">
        <v>166</v>
      </c>
      <c r="C24" s="95"/>
      <c r="D24" s="25"/>
      <c r="E24" s="25">
        <v>40.15</v>
      </c>
      <c r="F24" s="95"/>
      <c r="G24" s="25">
        <v>40.15</v>
      </c>
      <c r="H24" s="98"/>
      <c r="J24" s="30">
        <v>40.15</v>
      </c>
      <c r="K24" s="30">
        <v>40.15</v>
      </c>
      <c r="M24" s="80"/>
      <c r="O24" s="102"/>
      <c r="P24" s="102"/>
      <c r="R24" s="102">
        <f>J24</f>
        <v>40.15</v>
      </c>
      <c r="S24" s="102">
        <f>$K$283</f>
        <v>0</v>
      </c>
      <c r="T24" s="102">
        <f>$K$283</f>
        <v>0</v>
      </c>
      <c r="U24" s="102">
        <f>$K$283</f>
        <v>0</v>
      </c>
      <c r="W24" s="103">
        <f>$K$283</f>
        <v>0</v>
      </c>
      <c r="X24" s="103">
        <f>$K$283</f>
        <v>0</v>
      </c>
      <c r="Y24" s="103">
        <f>$K$283</f>
        <v>0</v>
      </c>
    </row>
    <row r="25" spans="1:25" ht="13.5" hidden="1" thickBot="1" x14ac:dyDescent="0.25">
      <c r="A25" s="63" t="s">
        <v>167</v>
      </c>
      <c r="B25" s="79" t="s">
        <v>135</v>
      </c>
      <c r="C25" s="95">
        <v>0.7732</v>
      </c>
      <c r="D25" s="25"/>
      <c r="E25" s="95"/>
      <c r="F25" s="95"/>
      <c r="G25" s="95"/>
      <c r="H25" s="98"/>
      <c r="I25" s="30">
        <v>0.7732</v>
      </c>
      <c r="L25" s="80">
        <f>L8*I25</f>
        <v>4.6391999999999998</v>
      </c>
      <c r="M25" s="80">
        <f>M8*I25</f>
        <v>4.6391999999999998</v>
      </c>
      <c r="O25" s="102">
        <f>O8*I25</f>
        <v>15.464</v>
      </c>
      <c r="P25" s="102">
        <f>P8*I25</f>
        <v>78.093199999999996</v>
      </c>
      <c r="R25" s="102">
        <f>R8*J25</f>
        <v>0</v>
      </c>
      <c r="S25" s="102">
        <f>S8*K25</f>
        <v>0</v>
      </c>
      <c r="T25" s="102">
        <f>T8*J25</f>
        <v>0</v>
      </c>
      <c r="U25" s="102">
        <f>U8*J25</f>
        <v>0</v>
      </c>
      <c r="W25" s="103">
        <f>W8*K25</f>
        <v>0</v>
      </c>
      <c r="X25" s="103">
        <f>X8*K25</f>
        <v>0</v>
      </c>
      <c r="Y25" s="103">
        <f>Y8*K25</f>
        <v>0</v>
      </c>
    </row>
    <row r="26" spans="1:25" ht="13.5" hidden="1" thickBot="1" x14ac:dyDescent="0.25">
      <c r="A26" s="90" t="s">
        <v>168</v>
      </c>
      <c r="B26" s="79"/>
      <c r="C26" s="79"/>
      <c r="D26" s="25"/>
      <c r="E26" s="79"/>
      <c r="F26" s="79"/>
      <c r="G26" s="79"/>
      <c r="H26" s="98"/>
      <c r="M26" s="80"/>
      <c r="O26" s="102"/>
      <c r="P26" s="102"/>
      <c r="R26" s="102"/>
      <c r="S26" s="102"/>
      <c r="T26" s="102"/>
      <c r="U26" s="102"/>
      <c r="W26" s="103"/>
      <c r="X26" s="103"/>
      <c r="Y26" s="103"/>
    </row>
    <row r="27" spans="1:25" ht="13.5" hidden="1" thickBot="1" x14ac:dyDescent="0.25">
      <c r="A27" s="63" t="s">
        <v>169</v>
      </c>
      <c r="B27" s="79" t="s">
        <v>170</v>
      </c>
      <c r="C27" s="95">
        <v>5</v>
      </c>
      <c r="D27" s="25"/>
      <c r="E27" s="25">
        <v>28.72</v>
      </c>
      <c r="F27" s="79"/>
      <c r="G27" s="25">
        <v>28.72</v>
      </c>
      <c r="H27" s="98"/>
      <c r="I27" s="30">
        <v>5</v>
      </c>
      <c r="J27" s="30">
        <v>28.72</v>
      </c>
      <c r="K27" s="30">
        <v>28.72</v>
      </c>
      <c r="L27" s="80">
        <v>5</v>
      </c>
      <c r="M27" s="80">
        <v>5</v>
      </c>
      <c r="O27" s="102">
        <v>5</v>
      </c>
      <c r="P27" s="102">
        <v>5</v>
      </c>
      <c r="R27" s="102">
        <f>J27</f>
        <v>28.72</v>
      </c>
      <c r="S27" s="102">
        <f>$K$286</f>
        <v>0.68610000000000004</v>
      </c>
      <c r="T27" s="102">
        <f>$K$286</f>
        <v>0.68610000000000004</v>
      </c>
      <c r="U27" s="102">
        <f>$K$286</f>
        <v>0.68610000000000004</v>
      </c>
      <c r="W27" s="103">
        <f>$K$286</f>
        <v>0.68610000000000004</v>
      </c>
      <c r="X27" s="103">
        <f>$K$286</f>
        <v>0.68610000000000004</v>
      </c>
      <c r="Y27" s="103">
        <f>$K$286</f>
        <v>0.68610000000000004</v>
      </c>
    </row>
    <row r="28" spans="1:25" ht="13.5" hidden="1" thickBot="1" x14ac:dyDescent="0.25">
      <c r="A28" s="63" t="s">
        <v>171</v>
      </c>
      <c r="B28" s="79" t="s">
        <v>135</v>
      </c>
      <c r="C28" s="95">
        <v>0.45689999999999997</v>
      </c>
      <c r="D28" s="95"/>
      <c r="E28" s="95"/>
      <c r="F28" s="95"/>
      <c r="G28" s="95"/>
      <c r="H28" s="98"/>
      <c r="I28" s="30">
        <v>0.45689999999999997</v>
      </c>
      <c r="L28" s="80">
        <f>L8*I28</f>
        <v>2.7413999999999996</v>
      </c>
      <c r="M28" s="80">
        <f>M8*I28</f>
        <v>2.7413999999999996</v>
      </c>
      <c r="O28" s="102">
        <f>O8*I28</f>
        <v>9.1379999999999999</v>
      </c>
      <c r="P28" s="102">
        <f>P8*I28</f>
        <v>46.146899999999995</v>
      </c>
      <c r="R28" s="102"/>
      <c r="S28" s="102"/>
      <c r="T28" s="102"/>
      <c r="U28" s="102"/>
      <c r="W28" s="103"/>
      <c r="X28" s="103"/>
      <c r="Y28" s="103"/>
    </row>
    <row r="29" spans="1:25" ht="13.5" hidden="1" thickBot="1" x14ac:dyDescent="0.25">
      <c r="A29" s="90" t="s">
        <v>172</v>
      </c>
      <c r="B29" s="79" t="s">
        <v>135</v>
      </c>
      <c r="C29" s="95" t="e">
        <f>#REF!</f>
        <v>#REF!</v>
      </c>
      <c r="D29" s="25"/>
      <c r="E29" s="25" t="e">
        <f>C29</f>
        <v>#REF!</v>
      </c>
      <c r="F29" s="25"/>
      <c r="G29" s="25" t="e">
        <f>C29</f>
        <v>#REF!</v>
      </c>
      <c r="H29" s="98"/>
      <c r="I29" s="64">
        <v>0.1019</v>
      </c>
      <c r="J29" s="64">
        <v>0.1019</v>
      </c>
      <c r="K29" s="64">
        <v>0.1019</v>
      </c>
      <c r="L29" s="80">
        <f>-(L9+L10+L17+L18+L22+L25+L27+L28)*25%</f>
        <v>-13.726100000000001</v>
      </c>
      <c r="M29" s="80">
        <f>-(M9+M10+M17+M18+M22+M25+M27+M28)*25%</f>
        <v>-13.726100000000001</v>
      </c>
      <c r="O29" s="102">
        <f>O8*I29</f>
        <v>2.0380000000000003</v>
      </c>
      <c r="P29" s="102">
        <f>P8*I29</f>
        <v>10.2919</v>
      </c>
      <c r="R29" s="102">
        <f>R8*J29</f>
        <v>10.2919</v>
      </c>
      <c r="S29" s="102">
        <f>S8*J29</f>
        <v>2.5475000000000003</v>
      </c>
      <c r="T29" s="102">
        <f>T8*J29</f>
        <v>102.61330000000001</v>
      </c>
      <c r="U29" s="102">
        <f>U8*J29</f>
        <v>102.30760000000001</v>
      </c>
      <c r="W29" s="103">
        <f>W8*K29</f>
        <v>855.96</v>
      </c>
      <c r="X29" s="103">
        <f>X8*K29</f>
        <v>1283.94</v>
      </c>
      <c r="Y29" s="103">
        <f>Y8*K29</f>
        <v>19473.09</v>
      </c>
    </row>
    <row r="30" spans="1:25" ht="13.5" hidden="1" thickBot="1" x14ac:dyDescent="0.25">
      <c r="A30" s="90" t="s">
        <v>173</v>
      </c>
      <c r="B30" s="79"/>
      <c r="C30" s="95" t="e">
        <f>#REF!</f>
        <v>#REF!</v>
      </c>
      <c r="D30" s="25"/>
      <c r="E30" s="25" t="e">
        <f>C30</f>
        <v>#REF!</v>
      </c>
      <c r="F30" s="25"/>
      <c r="G30" s="25" t="e">
        <f>C30</f>
        <v>#REF!</v>
      </c>
      <c r="H30" s="98"/>
      <c r="I30" s="30">
        <v>1.4E-3</v>
      </c>
      <c r="J30" s="30">
        <v>1.4E-3</v>
      </c>
      <c r="K30" s="30">
        <v>1.4E-3</v>
      </c>
      <c r="L30" s="106">
        <f>L8*I30</f>
        <v>8.3999999999999995E-3</v>
      </c>
      <c r="M30" s="80"/>
      <c r="O30" s="80">
        <f>-(O9+O10+O17+O18+O22+O25+O27+O28+O29)*5%</f>
        <v>-8.6693000000000016</v>
      </c>
      <c r="P30" s="107">
        <f>P8*I30</f>
        <v>0.1414</v>
      </c>
      <c r="R30" s="107">
        <f>R8*J30</f>
        <v>0.1414</v>
      </c>
      <c r="S30" s="107">
        <f>S8*J30</f>
        <v>3.4999999999999996E-2</v>
      </c>
      <c r="T30" s="107">
        <f>T8*J30</f>
        <v>1.4097999999999999</v>
      </c>
      <c r="U30" s="107">
        <f>U8*J30</f>
        <v>1.4056</v>
      </c>
      <c r="W30" s="104">
        <f>W8*K30</f>
        <v>11.76</v>
      </c>
      <c r="X30" s="104">
        <f>X8*K30</f>
        <v>17.64</v>
      </c>
      <c r="Y30" s="104">
        <f>Y8*K30</f>
        <v>267.54000000000002</v>
      </c>
    </row>
    <row r="31" spans="1:25" ht="13.5" hidden="1" thickBot="1" x14ac:dyDescent="0.25">
      <c r="A31" s="90" t="s">
        <v>174</v>
      </c>
      <c r="B31" s="79"/>
      <c r="C31" s="95"/>
      <c r="D31" s="95"/>
      <c r="E31" s="95"/>
      <c r="F31" s="95"/>
      <c r="G31" s="95"/>
      <c r="H31" s="98"/>
      <c r="M31" s="80"/>
      <c r="O31" s="80"/>
      <c r="P31" s="80"/>
      <c r="R31" s="80"/>
      <c r="S31" s="80"/>
      <c r="T31" s="80"/>
      <c r="U31" s="80"/>
      <c r="W31" s="97"/>
      <c r="X31" s="97"/>
      <c r="Y31" s="97"/>
    </row>
    <row r="32" spans="1:25" ht="13.5" hidden="1" thickBot="1" x14ac:dyDescent="0.25">
      <c r="A32" s="63" t="s">
        <v>175</v>
      </c>
      <c r="B32" s="79" t="s">
        <v>135</v>
      </c>
      <c r="C32" s="95">
        <v>0.1163</v>
      </c>
      <c r="D32" s="95"/>
      <c r="E32" s="95">
        <v>0.1163</v>
      </c>
      <c r="F32" s="95"/>
      <c r="G32" s="25">
        <f>C32</f>
        <v>0.1163</v>
      </c>
      <c r="H32" s="98"/>
      <c r="I32" s="30">
        <v>0.1163</v>
      </c>
      <c r="J32" s="30">
        <v>0.1163</v>
      </c>
      <c r="K32" s="30">
        <v>0.1163</v>
      </c>
      <c r="L32" s="80">
        <f>L8*I32</f>
        <v>0.69779999999999998</v>
      </c>
      <c r="M32" s="80">
        <f>M8*I32</f>
        <v>0.69779999999999998</v>
      </c>
      <c r="O32" s="80">
        <f>O8*I32</f>
        <v>2.3260000000000001</v>
      </c>
      <c r="P32" s="80">
        <f>P8*I32</f>
        <v>11.7463</v>
      </c>
      <c r="R32" s="80">
        <f>R8*J32</f>
        <v>11.7463</v>
      </c>
      <c r="S32" s="80">
        <f>S8*J32</f>
        <v>2.9075000000000002</v>
      </c>
      <c r="T32" s="80">
        <f>T8*J32</f>
        <v>117.11410000000001</v>
      </c>
      <c r="U32" s="80">
        <f>U8*J32</f>
        <v>116.76520000000001</v>
      </c>
      <c r="W32" s="97">
        <f>W8*K32</f>
        <v>976.92</v>
      </c>
      <c r="X32" s="97">
        <f>X8*K32</f>
        <v>1465.38</v>
      </c>
      <c r="Y32" s="97">
        <f>Y8*K32</f>
        <v>22224.93</v>
      </c>
    </row>
    <row r="33" spans="1:25" ht="13.5" hidden="1" thickBot="1" x14ac:dyDescent="0.25">
      <c r="A33" s="63" t="s">
        <v>176</v>
      </c>
      <c r="B33" s="79" t="s">
        <v>135</v>
      </c>
      <c r="C33" s="95">
        <v>2.5000000000000001E-3</v>
      </c>
      <c r="D33" s="95"/>
      <c r="E33" s="95">
        <v>2.5000000000000001E-3</v>
      </c>
      <c r="F33" s="95"/>
      <c r="G33" s="25">
        <f>C33</f>
        <v>2.5000000000000001E-3</v>
      </c>
      <c r="H33" s="98"/>
      <c r="I33" s="30">
        <v>2.5000000000000001E-3</v>
      </c>
      <c r="J33" s="30">
        <v>2.5000000000000001E-3</v>
      </c>
      <c r="K33" s="30">
        <v>2.5000000000000001E-3</v>
      </c>
      <c r="L33" s="80">
        <f>L8*I33</f>
        <v>1.4999999999999999E-2</v>
      </c>
      <c r="M33" s="80">
        <f>M8*I33</f>
        <v>1.4999999999999999E-2</v>
      </c>
      <c r="O33" s="80">
        <f>O8*I33</f>
        <v>0.05</v>
      </c>
      <c r="P33" s="80">
        <f>P8*I33</f>
        <v>0.2525</v>
      </c>
      <c r="R33" s="80">
        <f>R8*J33</f>
        <v>0.2525</v>
      </c>
      <c r="S33" s="80">
        <f>S8*J33</f>
        <v>6.25E-2</v>
      </c>
      <c r="T33" s="80">
        <f>T8*J33</f>
        <v>2.5175000000000001</v>
      </c>
      <c r="U33" s="80">
        <f>U8*J33</f>
        <v>2.5100000000000002</v>
      </c>
      <c r="W33" s="97">
        <f>W8*K33</f>
        <v>21</v>
      </c>
      <c r="X33" s="97">
        <f>X8*K33</f>
        <v>31.5</v>
      </c>
      <c r="Y33" s="97">
        <f>Y8*K33</f>
        <v>477.75</v>
      </c>
    </row>
    <row r="34" spans="1:25" ht="13.5" hidden="1" thickBot="1" x14ac:dyDescent="0.25">
      <c r="A34" s="108" t="s">
        <v>177</v>
      </c>
      <c r="B34" s="109" t="s">
        <v>135</v>
      </c>
      <c r="C34" s="110">
        <v>0.40039999999999998</v>
      </c>
      <c r="D34" s="110"/>
      <c r="E34" s="110">
        <v>0.40039999999999998</v>
      </c>
      <c r="F34" s="110"/>
      <c r="G34" s="25">
        <f>C34</f>
        <v>0.40039999999999998</v>
      </c>
      <c r="H34" s="98"/>
      <c r="I34" s="30">
        <v>0.40039999999999998</v>
      </c>
      <c r="J34" s="30">
        <v>0.40039999999999998</v>
      </c>
      <c r="K34" s="30">
        <v>0.40039999999999998</v>
      </c>
      <c r="L34" s="80">
        <f>L8*I34</f>
        <v>2.4024000000000001</v>
      </c>
      <c r="M34" s="80">
        <f>M8*I34</f>
        <v>2.4024000000000001</v>
      </c>
      <c r="O34" s="80">
        <f>O8*I34</f>
        <v>8.0079999999999991</v>
      </c>
      <c r="P34" s="80">
        <f>P8*I34</f>
        <v>40.440399999999997</v>
      </c>
      <c r="R34" s="80">
        <f>R8*J34</f>
        <v>40.440399999999997</v>
      </c>
      <c r="S34" s="80">
        <f>S8*J34</f>
        <v>10.01</v>
      </c>
      <c r="T34" s="80">
        <f>T8*J34</f>
        <v>403.20279999999997</v>
      </c>
      <c r="U34" s="80">
        <f>U8*J34</f>
        <v>402.0016</v>
      </c>
      <c r="W34" s="97">
        <f>W8*K34</f>
        <v>3363.3599999999997</v>
      </c>
      <c r="X34" s="97">
        <f>X8*K34</f>
        <v>5045.04</v>
      </c>
      <c r="Y34" s="97">
        <f>Y8*K34</f>
        <v>76516.44</v>
      </c>
    </row>
    <row r="35" spans="1:25" ht="13.5" hidden="1" thickBot="1" x14ac:dyDescent="0.25">
      <c r="A35" s="111" t="s">
        <v>178</v>
      </c>
      <c r="B35" s="112"/>
      <c r="C35" s="113">
        <f>4.6394-0.3+0.8819+0.7211+0.8449+0.7732+0.4569+0.1019+0.0014+0.1163+0.0025+0.4004</f>
        <v>8.6399000000000008</v>
      </c>
      <c r="D35" s="113"/>
      <c r="E35" s="113">
        <f>4.6394+0.8419+0.7159+0.9259+0.1019+0.0014+0.1163+0.0025+0.4004</f>
        <v>7.7456000000000014</v>
      </c>
      <c r="F35" s="113"/>
      <c r="G35" s="113">
        <f>4.6394+0.1019+0.0014+0.1163+0.0025+0.4004</f>
        <v>5.2619000000000007</v>
      </c>
      <c r="H35" s="113"/>
      <c r="I35" s="114">
        <v>8.6399000000000008</v>
      </c>
      <c r="J35" s="114">
        <v>7.7455999999999996</v>
      </c>
      <c r="K35" s="114">
        <v>5.2618999999999998</v>
      </c>
      <c r="L35" s="115">
        <f>SUM(L9:L34)</f>
        <v>42.501899999999999</v>
      </c>
      <c r="M35" s="116">
        <f>SUM(M9:M34)</f>
        <v>42.493499999999997</v>
      </c>
      <c r="O35" s="117">
        <f>SUM(O9:O34)</f>
        <v>169.10070000000005</v>
      </c>
      <c r="P35" s="117">
        <f>SUM(P9:P34)</f>
        <v>877.62990000000002</v>
      </c>
      <c r="R35" s="117">
        <f>SUM(R9:R34)</f>
        <v>851.17559999999992</v>
      </c>
      <c r="S35" s="117">
        <f>SUM(S9:S34)</f>
        <v>194.3261</v>
      </c>
      <c r="T35" s="117">
        <f>SUM(T9:T34)</f>
        <v>7800.5052999999998</v>
      </c>
      <c r="U35" s="117">
        <f>SUM(U9:U34)</f>
        <v>7777.2684999999992</v>
      </c>
      <c r="W35" s="118">
        <f>SUM(W9:W34)</f>
        <v>113225.1541</v>
      </c>
      <c r="X35" s="118">
        <f>SUM(X9:X34)</f>
        <v>173288.61350000001</v>
      </c>
      <c r="Y35" s="118">
        <f>SUM(Y9:Y34)</f>
        <v>1388635.7955</v>
      </c>
    </row>
    <row r="36" spans="1:25" ht="13.5" hidden="1" thickBot="1" x14ac:dyDescent="0.25">
      <c r="A36" s="111" t="s">
        <v>179</v>
      </c>
      <c r="B36" s="112" t="s">
        <v>166</v>
      </c>
      <c r="C36" s="119">
        <f>C27</f>
        <v>5</v>
      </c>
      <c r="D36" s="119"/>
      <c r="E36" s="119">
        <f>E24+E27</f>
        <v>68.87</v>
      </c>
      <c r="F36" s="119"/>
      <c r="G36" s="119">
        <f>G24+G27</f>
        <v>68.87</v>
      </c>
      <c r="H36" s="113"/>
      <c r="I36" s="120">
        <f>I9+I10+I11+I12+I17+I18+I22+I25+I28+I29</f>
        <v>8.4192999999999998</v>
      </c>
      <c r="J36" s="64">
        <f>E35-J35</f>
        <v>0</v>
      </c>
      <c r="K36" s="64">
        <f>G35-K35</f>
        <v>0</v>
      </c>
      <c r="M36" s="30" t="s">
        <v>180</v>
      </c>
      <c r="O36" s="121">
        <f>O8*I38</f>
        <v>2.8260000000000001</v>
      </c>
      <c r="P36" s="121">
        <f>P8*I38</f>
        <v>14.2713</v>
      </c>
      <c r="R36" s="121">
        <f>R8*J38</f>
        <v>14.2713</v>
      </c>
      <c r="S36" s="121">
        <f>S8*K38</f>
        <v>3.5325000000000002</v>
      </c>
      <c r="T36" s="121">
        <f>T8*J38</f>
        <v>142.28910000000002</v>
      </c>
      <c r="U36" s="121">
        <f>U8*J38</f>
        <v>141.86520000000002</v>
      </c>
      <c r="W36" s="122">
        <f>W8*K38</f>
        <v>1186.92</v>
      </c>
      <c r="X36" s="122">
        <f>X8*K38</f>
        <v>1780.38</v>
      </c>
      <c r="Y36" s="122">
        <f>Y8*K38</f>
        <v>27002.43</v>
      </c>
    </row>
    <row r="37" spans="1:25" ht="14.25" hidden="1" thickTop="1" thickBot="1" x14ac:dyDescent="0.25">
      <c r="A37" s="111" t="s">
        <v>181</v>
      </c>
      <c r="B37" s="123" t="s">
        <v>158</v>
      </c>
      <c r="C37" s="113"/>
      <c r="D37" s="113"/>
      <c r="E37" s="113"/>
      <c r="F37" s="113"/>
      <c r="G37" s="113" t="e">
        <f>G16+G21</f>
        <v>#REF!</v>
      </c>
      <c r="H37" s="113"/>
      <c r="I37" s="30" t="s">
        <v>182</v>
      </c>
      <c r="J37" s="30" t="s">
        <v>182</v>
      </c>
      <c r="K37" s="30" t="s">
        <v>182</v>
      </c>
      <c r="M37" s="30" t="s">
        <v>183</v>
      </c>
      <c r="O37" s="121">
        <f>O8*I39</f>
        <v>3.3999999999999996E-2</v>
      </c>
      <c r="P37" s="121">
        <f>P8*I39</f>
        <v>0.17169999999999999</v>
      </c>
      <c r="R37" s="121">
        <f>R8*J39</f>
        <v>0.17169999999999999</v>
      </c>
      <c r="S37" s="121">
        <f>S8*K39</f>
        <v>4.2499999999999996E-2</v>
      </c>
      <c r="T37" s="121">
        <f>T8*J39</f>
        <v>1.7119</v>
      </c>
      <c r="U37" s="121">
        <f>U8*J39</f>
        <v>1.7067999999999999</v>
      </c>
      <c r="W37" s="122">
        <f>W8*K39</f>
        <v>14.28</v>
      </c>
      <c r="X37" s="122">
        <f>X8*K39</f>
        <v>21.419999999999998</v>
      </c>
      <c r="Y37" s="122">
        <f>Y8*K39</f>
        <v>324.87</v>
      </c>
    </row>
    <row r="38" spans="1:25" ht="14.25" hidden="1" thickTop="1" thickBot="1" x14ac:dyDescent="0.25">
      <c r="A38" s="79"/>
      <c r="B38" s="79"/>
      <c r="C38" s="79"/>
      <c r="D38" s="960" t="s">
        <v>184</v>
      </c>
      <c r="E38" s="960"/>
      <c r="F38" s="961"/>
      <c r="G38" s="962" t="s">
        <v>185</v>
      </c>
      <c r="H38" s="960"/>
      <c r="I38" s="30">
        <v>0.14130000000000001</v>
      </c>
      <c r="J38" s="30">
        <v>0.14130000000000001</v>
      </c>
      <c r="K38" s="30">
        <v>0.14130000000000001</v>
      </c>
      <c r="M38" s="30" t="s">
        <v>186</v>
      </c>
      <c r="O38" s="121">
        <f>O8*I40</f>
        <v>0.374</v>
      </c>
      <c r="P38" s="121">
        <f>P8*I40</f>
        <v>1.8887</v>
      </c>
      <c r="R38" s="121">
        <f>R8*J40</f>
        <v>1.8887</v>
      </c>
      <c r="S38" s="121">
        <f>S8*J40</f>
        <v>0.46750000000000003</v>
      </c>
      <c r="T38" s="121">
        <f>T8*J40</f>
        <v>18.8309</v>
      </c>
      <c r="U38" s="121">
        <f>U8*J40</f>
        <v>18.774800000000003</v>
      </c>
      <c r="W38" s="122">
        <v>0</v>
      </c>
      <c r="X38" s="122">
        <v>0</v>
      </c>
      <c r="Y38" s="122">
        <v>0</v>
      </c>
    </row>
    <row r="39" spans="1:25" ht="13.5" hidden="1" thickBot="1" x14ac:dyDescent="0.25">
      <c r="A39" s="79"/>
      <c r="B39" s="79"/>
      <c r="C39" s="79"/>
      <c r="D39" s="124" t="s">
        <v>187</v>
      </c>
      <c r="E39" s="125" t="s">
        <v>188</v>
      </c>
      <c r="F39" s="126" t="s">
        <v>189</v>
      </c>
      <c r="G39" s="963" t="s">
        <v>190</v>
      </c>
      <c r="H39" s="964"/>
      <c r="I39" s="64">
        <v>1.6999999999999999E-3</v>
      </c>
      <c r="J39" s="64">
        <v>1.6999999999999999E-3</v>
      </c>
      <c r="K39" s="64">
        <v>1.6999999999999999E-3</v>
      </c>
      <c r="M39" s="30" t="s">
        <v>191</v>
      </c>
      <c r="O39" s="121">
        <f>(SUM(O14,O22:O29))*12%</f>
        <v>5.1045599999999993</v>
      </c>
      <c r="P39" s="121">
        <f>(SUM(P14,P22:P29))*12%</f>
        <v>23.348027999999999</v>
      </c>
      <c r="R39" s="121">
        <f>(SUM(R14,R22:R29))*12%</f>
        <v>20.721335999999997</v>
      </c>
      <c r="S39" s="121">
        <f>(SUM(S14,S22:S29))*12%</f>
        <v>3.1657319999999993</v>
      </c>
      <c r="T39" s="121">
        <f>(SUM(T14,T22:T29))*12%</f>
        <v>124.28168399999998</v>
      </c>
      <c r="U39" s="121">
        <f>(SUM(U14,U22:U29))*12%</f>
        <v>123.91167599999999</v>
      </c>
      <c r="W39" s="122">
        <f>(SUM(W14,W21:W29))*12%</f>
        <v>4603.5175319999998</v>
      </c>
      <c r="X39" s="122">
        <f>(SUM(X14,X21:X29))*12%</f>
        <v>7130.2711319999989</v>
      </c>
      <c r="Y39" s="122">
        <f>(SUM(Y14,Y21:Y29))*12%</f>
        <v>27315.849131999996</v>
      </c>
    </row>
    <row r="40" spans="1:25" ht="13.5" hidden="1" thickBot="1" x14ac:dyDescent="0.25">
      <c r="A40" s="79"/>
      <c r="B40" s="79"/>
      <c r="C40" s="79"/>
      <c r="D40" s="127" t="e">
        <f>#REF!</f>
        <v>#REF!</v>
      </c>
      <c r="E40" s="127" t="e">
        <f>#REF!</f>
        <v>#REF!</v>
      </c>
      <c r="F40" s="127" t="e">
        <f>#REF!</f>
        <v>#REF!</v>
      </c>
      <c r="G40" s="128">
        <v>0.12</v>
      </c>
      <c r="H40" s="129"/>
      <c r="I40" s="30">
        <v>1.8700000000000001E-2</v>
      </c>
      <c r="J40" s="30">
        <v>1.8700000000000001E-2</v>
      </c>
      <c r="O40" s="116">
        <f>SUM(O35:O39)</f>
        <v>177.43926000000002</v>
      </c>
      <c r="P40" s="116">
        <f>SUM(P35:P39)</f>
        <v>917.30962799999998</v>
      </c>
      <c r="R40" s="116">
        <f>SUM(R35:R39)</f>
        <v>888.22863599999982</v>
      </c>
      <c r="S40" s="116">
        <f>SUM(S35:S39)</f>
        <v>201.53433199999998</v>
      </c>
      <c r="T40" s="116">
        <f>SUM(T35:T39)</f>
        <v>8087.6188839999995</v>
      </c>
      <c r="U40" s="116">
        <f>SUM(U35:U39)</f>
        <v>8063.5269759999992</v>
      </c>
      <c r="W40" s="116">
        <f>SUM(W35:W39)</f>
        <v>119029.87163199999</v>
      </c>
      <c r="X40" s="116">
        <f>SUM(X35:X39)</f>
        <v>182220.68463200002</v>
      </c>
      <c r="Y40" s="116">
        <f>SUM(Y35:Y39)</f>
        <v>1443278.9446320001</v>
      </c>
    </row>
    <row r="41" spans="1:25" ht="13.5" hidden="1" thickBot="1" x14ac:dyDescent="0.25">
      <c r="A41" s="61" t="s">
        <v>192</v>
      </c>
      <c r="B41" s="61"/>
      <c r="C41" s="130" t="s">
        <v>193</v>
      </c>
      <c r="D41" s="79"/>
      <c r="E41" s="79"/>
      <c r="F41" s="79"/>
      <c r="G41" s="79"/>
      <c r="H41" s="79"/>
      <c r="W41" s="97"/>
    </row>
    <row r="42" spans="1:25" ht="13.5" hidden="1" thickBot="1" x14ac:dyDescent="0.25">
      <c r="A42" s="61"/>
      <c r="B42" s="79"/>
      <c r="C42" s="61"/>
      <c r="D42" s="79"/>
      <c r="E42" s="79"/>
      <c r="F42" s="79"/>
      <c r="G42" s="79"/>
      <c r="H42" s="79"/>
      <c r="W42" s="122"/>
    </row>
    <row r="43" spans="1:25" ht="13.5" hidden="1" thickBot="1" x14ac:dyDescent="0.25">
      <c r="A43" s="131" t="s">
        <v>194</v>
      </c>
      <c r="B43" s="81"/>
      <c r="C43" s="131" t="s">
        <v>195</v>
      </c>
      <c r="D43" s="79"/>
      <c r="E43" s="79"/>
      <c r="F43" s="79"/>
      <c r="G43" s="79"/>
      <c r="H43" s="79"/>
    </row>
    <row r="44" spans="1:25" ht="13.5" hidden="1" thickBot="1" x14ac:dyDescent="0.25">
      <c r="A44" s="61" t="s">
        <v>196</v>
      </c>
      <c r="B44" s="79"/>
      <c r="C44" s="61" t="s">
        <v>197</v>
      </c>
      <c r="D44" s="79"/>
      <c r="E44" s="79"/>
      <c r="F44" s="79"/>
      <c r="G44" s="79"/>
      <c r="H44" s="79"/>
    </row>
    <row r="45" spans="1:25" ht="13.5" hidden="1" thickBot="1" x14ac:dyDescent="0.25">
      <c r="A45" s="66" t="s">
        <v>64</v>
      </c>
      <c r="B45" s="66"/>
      <c r="C45" s="66"/>
      <c r="D45" s="66"/>
      <c r="E45" s="66"/>
      <c r="F45" s="66"/>
      <c r="G45" s="66"/>
      <c r="H45" s="66"/>
    </row>
    <row r="46" spans="1:25" ht="13.5" hidden="1" thickBot="1" x14ac:dyDescent="0.25">
      <c r="A46" s="66" t="s">
        <v>0</v>
      </c>
      <c r="B46" s="66"/>
      <c r="C46" s="66"/>
      <c r="D46" s="66"/>
      <c r="E46" s="66"/>
      <c r="F46" s="66"/>
      <c r="G46" s="66"/>
      <c r="H46" s="66"/>
    </row>
    <row r="47" spans="1:25" ht="13.5" hidden="1" thickBot="1" x14ac:dyDescent="0.25">
      <c r="A47" s="66"/>
      <c r="B47" s="66"/>
      <c r="C47" s="66"/>
      <c r="D47" s="66"/>
      <c r="E47" s="66"/>
      <c r="F47" s="66"/>
      <c r="G47" s="66"/>
      <c r="H47" s="66"/>
    </row>
    <row r="48" spans="1:25" ht="13.5" hidden="1" thickBot="1" x14ac:dyDescent="0.25">
      <c r="A48" s="132" t="s">
        <v>60</v>
      </c>
      <c r="B48" s="66"/>
      <c r="C48" s="66"/>
      <c r="D48" s="66"/>
      <c r="E48" s="66"/>
      <c r="F48" s="66"/>
      <c r="G48" s="66"/>
      <c r="H48" s="66"/>
      <c r="W48" s="34" t="s">
        <v>143</v>
      </c>
      <c r="X48" s="34" t="s">
        <v>144</v>
      </c>
      <c r="Y48" s="34" t="s">
        <v>1</v>
      </c>
    </row>
    <row r="49" spans="1:25" ht="13.5" hidden="1" thickBot="1" x14ac:dyDescent="0.25">
      <c r="A49" s="133" t="s">
        <v>54</v>
      </c>
      <c r="B49" s="66"/>
      <c r="C49" s="66"/>
      <c r="D49" s="66"/>
      <c r="E49" s="66"/>
      <c r="F49" s="66"/>
      <c r="G49" s="66"/>
      <c r="H49" s="66"/>
      <c r="W49" s="83" t="s">
        <v>145</v>
      </c>
      <c r="X49" s="83" t="s">
        <v>145</v>
      </c>
      <c r="Y49" s="83" t="s">
        <v>145</v>
      </c>
    </row>
    <row r="50" spans="1:25" ht="13.5" hidden="1" thickBot="1" x14ac:dyDescent="0.25">
      <c r="A50" s="133"/>
      <c r="B50" s="66"/>
      <c r="C50" s="66"/>
      <c r="D50" s="66"/>
      <c r="E50" s="66"/>
      <c r="F50" s="66"/>
      <c r="G50" s="66"/>
      <c r="H50" s="66"/>
      <c r="L50" s="84" t="s">
        <v>146</v>
      </c>
      <c r="M50" s="73" t="s">
        <v>6</v>
      </c>
      <c r="N50" s="73"/>
      <c r="O50" s="84" t="s">
        <v>146</v>
      </c>
      <c r="P50" s="73" t="s">
        <v>6</v>
      </c>
      <c r="R50" s="85" t="s">
        <v>147</v>
      </c>
      <c r="S50" s="85" t="s">
        <v>147</v>
      </c>
      <c r="T50" s="85" t="s">
        <v>147</v>
      </c>
      <c r="U50" s="85" t="s">
        <v>147</v>
      </c>
      <c r="W50" s="86">
        <f>0.2*700</f>
        <v>140</v>
      </c>
      <c r="X50" s="86">
        <f>0.31*700</f>
        <v>217</v>
      </c>
      <c r="Y50" s="86">
        <f>0.37*2100</f>
        <v>777</v>
      </c>
    </row>
    <row r="51" spans="1:25" ht="13.5" hidden="1" thickBot="1" x14ac:dyDescent="0.25">
      <c r="A51" s="965"/>
      <c r="B51" s="966"/>
      <c r="C51" s="134" t="s">
        <v>6</v>
      </c>
      <c r="D51" s="967" t="s">
        <v>47</v>
      </c>
      <c r="E51" s="968"/>
      <c r="F51" s="969"/>
      <c r="G51" s="967" t="s">
        <v>13</v>
      </c>
      <c r="H51" s="969"/>
      <c r="I51" s="134" t="s">
        <v>6</v>
      </c>
      <c r="J51" s="134" t="s">
        <v>47</v>
      </c>
      <c r="K51" s="134" t="s">
        <v>13</v>
      </c>
      <c r="L51" s="80" t="s">
        <v>130</v>
      </c>
      <c r="M51" s="88" t="s">
        <v>148</v>
      </c>
      <c r="O51" s="80" t="s">
        <v>130</v>
      </c>
      <c r="P51" s="80" t="s">
        <v>130</v>
      </c>
      <c r="R51" s="80" t="s">
        <v>130</v>
      </c>
      <c r="S51" s="80" t="s">
        <v>130</v>
      </c>
      <c r="T51" s="80" t="s">
        <v>130</v>
      </c>
      <c r="U51" s="80" t="s">
        <v>130</v>
      </c>
      <c r="W51" s="89" t="s">
        <v>130</v>
      </c>
      <c r="X51" s="89" t="s">
        <v>130</v>
      </c>
      <c r="Y51" s="89" t="s">
        <v>130</v>
      </c>
    </row>
    <row r="52" spans="1:25" ht="13.5" hidden="1" thickBot="1" x14ac:dyDescent="0.25">
      <c r="A52" s="135" t="s">
        <v>149</v>
      </c>
      <c r="B52" s="66"/>
      <c r="C52" s="136"/>
      <c r="D52" s="136"/>
      <c r="E52" s="136"/>
      <c r="F52" s="136"/>
      <c r="G52" s="136"/>
      <c r="H52" s="137"/>
      <c r="L52" s="93">
        <v>6</v>
      </c>
      <c r="M52" s="93">
        <v>10</v>
      </c>
      <c r="O52" s="93">
        <v>20</v>
      </c>
      <c r="P52" s="93">
        <v>101</v>
      </c>
      <c r="R52" s="93">
        <v>101</v>
      </c>
      <c r="S52" s="93">
        <v>4937</v>
      </c>
      <c r="T52" s="93">
        <v>667</v>
      </c>
      <c r="U52" s="93">
        <v>1004</v>
      </c>
      <c r="W52" s="94">
        <f>(908-892)*700</f>
        <v>11200</v>
      </c>
      <c r="X52" s="94">
        <f>(977-949)*700</f>
        <v>19600</v>
      </c>
      <c r="Y52" s="94">
        <f>(2571-2467)*2100</f>
        <v>218400</v>
      </c>
    </row>
    <row r="53" spans="1:25" ht="13.5" hidden="1" thickBot="1" x14ac:dyDescent="0.25">
      <c r="A53" s="138" t="s">
        <v>150</v>
      </c>
      <c r="B53" s="66" t="s">
        <v>135</v>
      </c>
      <c r="C53" s="139" t="e">
        <f>C57-C54-C55-C56</f>
        <v>#REF!</v>
      </c>
      <c r="D53" s="139"/>
      <c r="E53" s="139" t="e">
        <f>E57-E54-E55-E56</f>
        <v>#REF!</v>
      </c>
      <c r="F53" s="139"/>
      <c r="G53" s="139" t="e">
        <f>G57-G54-G55-G56</f>
        <v>#REF!</v>
      </c>
      <c r="H53" s="140"/>
      <c r="I53" s="30">
        <v>4.7431000000000001</v>
      </c>
      <c r="J53" s="64">
        <v>4.7431000000000001</v>
      </c>
      <c r="K53" s="64">
        <v>4.7431000000000001</v>
      </c>
      <c r="L53" s="80">
        <f>L52*(I53+I55+I56)</f>
        <v>32.0946</v>
      </c>
      <c r="M53" s="80">
        <f>M52*(I53+I55+I56)</f>
        <v>53.491</v>
      </c>
      <c r="O53" s="80">
        <f>O52*(I53+I55+I56)</f>
        <v>106.982</v>
      </c>
      <c r="P53" s="80">
        <f>P52*(I53+I55+I56)</f>
        <v>540.25909999999999</v>
      </c>
      <c r="R53" s="80">
        <f>R52*(J53+J55+J56)</f>
        <v>540.25909999999999</v>
      </c>
      <c r="S53" s="80">
        <f>S52*(J53+J55+J56)</f>
        <v>26408.506699999998</v>
      </c>
      <c r="T53" s="80">
        <f>T52*(J53+J55+J56)</f>
        <v>3567.8496999999998</v>
      </c>
      <c r="U53" s="80">
        <f>U52*(J53+J55+J56)</f>
        <v>5370.4964</v>
      </c>
      <c r="W53" s="97">
        <f>W52*(K53+K55+K56)</f>
        <v>59909.919999999998</v>
      </c>
      <c r="X53" s="97">
        <f>X52*(K53+K55+K56)</f>
        <v>104842.36</v>
      </c>
      <c r="Y53" s="97">
        <f>Y52*(K53+K55+K56)</f>
        <v>1168243.44</v>
      </c>
    </row>
    <row r="54" spans="1:25" ht="13.5" hidden="1" thickBot="1" x14ac:dyDescent="0.25">
      <c r="A54" s="138" t="s">
        <v>151</v>
      </c>
      <c r="B54" s="66" t="s">
        <v>135</v>
      </c>
      <c r="C54" s="139">
        <v>1.77E-2</v>
      </c>
      <c r="D54" s="139"/>
      <c r="E54" s="139">
        <v>1.77E-2</v>
      </c>
      <c r="F54" s="139"/>
      <c r="G54" s="139">
        <v>1.77E-2</v>
      </c>
      <c r="H54" s="141"/>
      <c r="I54" s="30">
        <v>1.77E-2</v>
      </c>
      <c r="J54" s="64">
        <v>1.77E-2</v>
      </c>
      <c r="K54" s="30">
        <v>1.77E-2</v>
      </c>
      <c r="L54" s="80">
        <f>L52*I54</f>
        <v>0.1062</v>
      </c>
      <c r="M54" s="80">
        <f>M52*I54</f>
        <v>0.17699999999999999</v>
      </c>
      <c r="O54" s="80">
        <f>O52*I54</f>
        <v>0.35399999999999998</v>
      </c>
      <c r="P54" s="80">
        <f>P52*I54</f>
        <v>1.7877000000000001</v>
      </c>
      <c r="R54" s="80">
        <f>R52*J54</f>
        <v>1.7877000000000001</v>
      </c>
      <c r="S54" s="80">
        <f>S52*J54</f>
        <v>87.384900000000002</v>
      </c>
      <c r="T54" s="80">
        <f>T52*J54</f>
        <v>11.805900000000001</v>
      </c>
      <c r="U54" s="80">
        <f>U52*J54</f>
        <v>17.770800000000001</v>
      </c>
      <c r="W54" s="97">
        <f>W52*K54</f>
        <v>198.24</v>
      </c>
      <c r="X54" s="97">
        <f>X52*K54</f>
        <v>346.92</v>
      </c>
      <c r="Y54" s="97">
        <f>Y52*K54</f>
        <v>3865.6800000000003</v>
      </c>
    </row>
    <row r="55" spans="1:25" ht="13.5" hidden="1" thickBot="1" x14ac:dyDescent="0.25">
      <c r="A55" s="138" t="s">
        <v>152</v>
      </c>
      <c r="B55" s="66" t="s">
        <v>135</v>
      </c>
      <c r="C55" s="139">
        <v>0.48470000000000002</v>
      </c>
      <c r="D55" s="139"/>
      <c r="E55" s="139">
        <v>0.48470000000000002</v>
      </c>
      <c r="F55" s="139"/>
      <c r="G55" s="139">
        <v>0.48470000000000002</v>
      </c>
      <c r="H55" s="141"/>
      <c r="I55" s="30">
        <v>0.48470000000000002</v>
      </c>
      <c r="J55" s="64">
        <v>0.48470000000000002</v>
      </c>
      <c r="K55" s="64">
        <v>0.48470000000000002</v>
      </c>
      <c r="M55" s="80"/>
      <c r="O55" s="80"/>
      <c r="P55" s="80"/>
      <c r="R55" s="80"/>
      <c r="S55" s="80"/>
      <c r="T55" s="80"/>
      <c r="U55" s="80"/>
      <c r="W55" s="97"/>
      <c r="X55" s="97"/>
      <c r="Y55" s="97"/>
    </row>
    <row r="56" spans="1:25" ht="13.5" hidden="1" thickBot="1" x14ac:dyDescent="0.25">
      <c r="A56" s="138" t="s">
        <v>153</v>
      </c>
      <c r="B56" s="66" t="s">
        <v>135</v>
      </c>
      <c r="C56" s="139">
        <v>0.12130000000000001</v>
      </c>
      <c r="D56" s="139"/>
      <c r="E56" s="139">
        <v>0.12130000000000001</v>
      </c>
      <c r="F56" s="139"/>
      <c r="G56" s="139">
        <v>0.12130000000000001</v>
      </c>
      <c r="H56" s="141"/>
      <c r="I56" s="30">
        <v>0.12130000000000001</v>
      </c>
      <c r="J56" s="64">
        <v>0.12130000000000001</v>
      </c>
      <c r="K56" s="64">
        <v>0.12130000000000001</v>
      </c>
      <c r="M56" s="80"/>
      <c r="O56" s="80"/>
      <c r="P56" s="80"/>
      <c r="R56" s="80"/>
      <c r="S56" s="80"/>
      <c r="T56" s="80"/>
      <c r="U56" s="80"/>
      <c r="W56" s="97"/>
      <c r="X56" s="97"/>
      <c r="Y56" s="97"/>
    </row>
    <row r="57" spans="1:25" ht="13.5" hidden="1" thickBot="1" x14ac:dyDescent="0.25">
      <c r="A57" s="138" t="s">
        <v>154</v>
      </c>
      <c r="B57" s="66"/>
      <c r="C57" s="142" t="e">
        <f>#REF!</f>
        <v>#REF!</v>
      </c>
      <c r="D57" s="142"/>
      <c r="E57" s="142" t="e">
        <f>C57</f>
        <v>#REF!</v>
      </c>
      <c r="F57" s="142"/>
      <c r="G57" s="142" t="e">
        <f>C57</f>
        <v>#REF!</v>
      </c>
      <c r="H57" s="143"/>
      <c r="M57" s="80"/>
      <c r="O57" s="80"/>
      <c r="P57" s="80"/>
      <c r="R57" s="80"/>
      <c r="S57" s="80"/>
      <c r="T57" s="80"/>
      <c r="U57" s="80"/>
      <c r="W57" s="97"/>
      <c r="X57" s="97"/>
      <c r="Y57" s="97"/>
    </row>
    <row r="58" spans="1:25" ht="13.5" hidden="1" thickBot="1" x14ac:dyDescent="0.25">
      <c r="A58" s="135" t="s">
        <v>155</v>
      </c>
      <c r="B58" s="66" t="s">
        <v>135</v>
      </c>
      <c r="C58" s="139" t="e">
        <f>(-599064.73+33008.23)/#REF!</f>
        <v>#REF!</v>
      </c>
      <c r="D58" s="139"/>
      <c r="E58" s="139"/>
      <c r="F58" s="139"/>
      <c r="G58" s="139"/>
      <c r="H58" s="140"/>
      <c r="I58" s="64">
        <v>-0.22819999999999999</v>
      </c>
      <c r="J58" s="101"/>
      <c r="K58" s="101"/>
      <c r="L58" s="80">
        <f>L52*I58</f>
        <v>-1.3692</v>
      </c>
      <c r="M58" s="80">
        <f>M52*I58</f>
        <v>-2.282</v>
      </c>
      <c r="O58" s="102">
        <f>O52*I58</f>
        <v>-4.5640000000000001</v>
      </c>
      <c r="P58" s="102">
        <f>P52*I58</f>
        <v>-23.048199999999998</v>
      </c>
      <c r="R58" s="102">
        <f>R52*J58</f>
        <v>0</v>
      </c>
      <c r="S58" s="102">
        <f>S52*K58</f>
        <v>0</v>
      </c>
      <c r="T58" s="102">
        <f>T52*J58</f>
        <v>0</v>
      </c>
      <c r="U58" s="102">
        <f>U52*J58</f>
        <v>0</v>
      </c>
      <c r="W58" s="103">
        <f>W52*K58</f>
        <v>0</v>
      </c>
      <c r="X58" s="103">
        <f>X52*K58</f>
        <v>0</v>
      </c>
      <c r="Y58" s="103">
        <f>Y52*K58</f>
        <v>0</v>
      </c>
    </row>
    <row r="59" spans="1:25" ht="13.5" hidden="1" thickBot="1" x14ac:dyDescent="0.25">
      <c r="A59" s="135" t="s">
        <v>156</v>
      </c>
      <c r="B59" s="66"/>
      <c r="C59" s="139"/>
      <c r="D59" s="139"/>
      <c r="E59" s="139"/>
      <c r="F59" s="139"/>
      <c r="G59" s="139"/>
      <c r="H59" s="140"/>
      <c r="M59" s="80"/>
      <c r="O59" s="80"/>
      <c r="P59" s="80"/>
      <c r="R59" s="80"/>
      <c r="S59" s="80"/>
      <c r="T59" s="80"/>
      <c r="U59" s="80"/>
      <c r="W59" s="97"/>
      <c r="X59" s="97"/>
      <c r="Y59" s="97"/>
    </row>
    <row r="60" spans="1:25" ht="13.5" hidden="1" thickBot="1" x14ac:dyDescent="0.25">
      <c r="A60" s="138" t="s">
        <v>157</v>
      </c>
      <c r="B60" s="66" t="s">
        <v>158</v>
      </c>
      <c r="C60" s="139"/>
      <c r="D60" s="139"/>
      <c r="E60" s="139"/>
      <c r="F60" s="139"/>
      <c r="G60" s="139" t="e">
        <f>#REF!</f>
        <v>#REF!</v>
      </c>
      <c r="H60" s="141"/>
      <c r="K60" s="64">
        <v>223.09020000000001</v>
      </c>
      <c r="M60" s="80"/>
      <c r="O60" s="80"/>
      <c r="P60" s="80"/>
      <c r="R60" s="80"/>
      <c r="S60" s="80"/>
      <c r="T60" s="80"/>
      <c r="U60" s="80"/>
      <c r="W60" s="104">
        <f>W50*K60</f>
        <v>31232.628000000001</v>
      </c>
      <c r="X60" s="97">
        <f>X50*K60</f>
        <v>48410.573400000001</v>
      </c>
      <c r="Y60" s="97">
        <f>Y50*K60</f>
        <v>173341.08540000001</v>
      </c>
    </row>
    <row r="61" spans="1:25" ht="13.5" hidden="1" thickBot="1" x14ac:dyDescent="0.25">
      <c r="A61" s="138" t="s">
        <v>159</v>
      </c>
      <c r="B61" s="66" t="s">
        <v>135</v>
      </c>
      <c r="C61" s="139" t="e">
        <f>#REF!</f>
        <v>#REF!</v>
      </c>
      <c r="D61" s="139"/>
      <c r="E61" s="139" t="e">
        <f>#REF!</f>
        <v>#REF!</v>
      </c>
      <c r="F61" s="139"/>
      <c r="G61" s="139"/>
      <c r="H61" s="141"/>
      <c r="I61" s="30">
        <v>0.83819999999999995</v>
      </c>
      <c r="J61" s="64">
        <v>0.8498</v>
      </c>
      <c r="L61" s="80">
        <f>L52*I61</f>
        <v>5.0291999999999994</v>
      </c>
      <c r="M61" s="80">
        <f>M52*I61</f>
        <v>8.3819999999999997</v>
      </c>
      <c r="O61" s="80">
        <f>O52*I61</f>
        <v>16.763999999999999</v>
      </c>
      <c r="P61" s="80">
        <f>P52*I61</f>
        <v>84.658199999999994</v>
      </c>
      <c r="R61" s="80">
        <f>R52*J61</f>
        <v>85.829800000000006</v>
      </c>
      <c r="S61" s="80">
        <f>S52*J61</f>
        <v>4195.4625999999998</v>
      </c>
      <c r="T61" s="80">
        <f>T52*J61</f>
        <v>566.81659999999999</v>
      </c>
      <c r="U61" s="80">
        <f>U52*J61</f>
        <v>853.19920000000002</v>
      </c>
      <c r="W61" s="97">
        <f>W52*K61</f>
        <v>0</v>
      </c>
      <c r="X61" s="97">
        <f>X52*K61</f>
        <v>0</v>
      </c>
      <c r="Y61" s="97">
        <f>Y52*K61</f>
        <v>0</v>
      </c>
    </row>
    <row r="62" spans="1:25" ht="13.5" hidden="1" thickBot="1" x14ac:dyDescent="0.25">
      <c r="A62" s="135" t="s">
        <v>160</v>
      </c>
      <c r="B62" s="66" t="s">
        <v>135</v>
      </c>
      <c r="C62" s="139" t="e">
        <f>#REF!</f>
        <v>#REF!</v>
      </c>
      <c r="D62" s="139"/>
      <c r="E62" s="139" t="e">
        <f>#REF!</f>
        <v>#REF!</v>
      </c>
      <c r="F62" s="139"/>
      <c r="G62" s="139">
        <v>0</v>
      </c>
      <c r="H62" s="141"/>
      <c r="I62" s="30">
        <v>0.79039999999999999</v>
      </c>
      <c r="J62" s="30">
        <v>0.79190000000000005</v>
      </c>
      <c r="K62" s="30">
        <v>0</v>
      </c>
      <c r="L62" s="80">
        <f>L52*I62</f>
        <v>4.7423999999999999</v>
      </c>
      <c r="M62" s="80">
        <f>M52*I62</f>
        <v>7.9039999999999999</v>
      </c>
      <c r="O62" s="80">
        <f>O52*I62</f>
        <v>15.808</v>
      </c>
      <c r="P62" s="80">
        <f>P52*I62</f>
        <v>79.830399999999997</v>
      </c>
      <c r="R62" s="80">
        <f>R52*J62</f>
        <v>79.98190000000001</v>
      </c>
      <c r="S62" s="80">
        <f>S52*J62</f>
        <v>3909.6103000000003</v>
      </c>
      <c r="T62" s="80">
        <f>T52*J62</f>
        <v>528.19730000000004</v>
      </c>
      <c r="U62" s="80">
        <f>U52*J62</f>
        <v>795.06760000000008</v>
      </c>
      <c r="W62" s="97">
        <f>W52*K62</f>
        <v>0</v>
      </c>
      <c r="X62" s="97">
        <f>X52*K62</f>
        <v>0</v>
      </c>
      <c r="Y62" s="97">
        <f>Y52*K62</f>
        <v>0</v>
      </c>
    </row>
    <row r="63" spans="1:25" ht="13.5" hidden="1" thickBot="1" x14ac:dyDescent="0.25">
      <c r="A63" s="138"/>
      <c r="B63" s="66"/>
      <c r="C63" s="139"/>
      <c r="D63" s="139"/>
      <c r="E63" s="139"/>
      <c r="F63" s="139"/>
      <c r="G63" s="139"/>
      <c r="H63" s="141"/>
      <c r="M63" s="80"/>
      <c r="O63" s="80"/>
      <c r="P63" s="80"/>
      <c r="R63" s="80"/>
      <c r="S63" s="80"/>
      <c r="T63" s="80"/>
      <c r="U63" s="80"/>
      <c r="W63" s="97"/>
      <c r="X63" s="97"/>
      <c r="Y63" s="97"/>
    </row>
    <row r="64" spans="1:25" ht="13.5" hidden="1" thickBot="1" x14ac:dyDescent="0.25">
      <c r="A64" s="135" t="s">
        <v>161</v>
      </c>
      <c r="B64" s="66"/>
      <c r="C64" s="139"/>
      <c r="D64" s="139"/>
      <c r="E64" s="139"/>
      <c r="F64" s="139"/>
      <c r="G64" s="139"/>
      <c r="H64" s="141"/>
      <c r="M64" s="80"/>
      <c r="O64" s="80"/>
      <c r="P64" s="80"/>
      <c r="R64" s="80"/>
      <c r="S64" s="80"/>
      <c r="T64" s="80"/>
      <c r="U64" s="80"/>
      <c r="W64" s="97"/>
      <c r="X64" s="97"/>
      <c r="Y64" s="97"/>
    </row>
    <row r="65" spans="1:25" ht="13.5" hidden="1" thickBot="1" x14ac:dyDescent="0.25">
      <c r="A65" s="138" t="s">
        <v>162</v>
      </c>
      <c r="B65" s="66" t="s">
        <v>158</v>
      </c>
      <c r="C65" s="139"/>
      <c r="D65" s="139"/>
      <c r="E65" s="139"/>
      <c r="F65" s="139"/>
      <c r="G65" s="139">
        <v>267.89999999999998</v>
      </c>
      <c r="H65" s="141"/>
      <c r="K65" s="30">
        <v>267.89999999999998</v>
      </c>
      <c r="M65" s="80"/>
      <c r="O65" s="80"/>
      <c r="P65" s="80"/>
      <c r="R65" s="80"/>
      <c r="S65" s="80"/>
      <c r="T65" s="80"/>
      <c r="U65" s="80"/>
      <c r="W65" s="104">
        <f>W50*K65</f>
        <v>37506</v>
      </c>
      <c r="X65" s="104">
        <f>X50*K65</f>
        <v>58134.299999999996</v>
      </c>
      <c r="Y65" s="104">
        <f>Y50*K65</f>
        <v>208158.3</v>
      </c>
    </row>
    <row r="66" spans="1:25" ht="13.5" hidden="1" thickBot="1" x14ac:dyDescent="0.25">
      <c r="A66" s="138" t="s">
        <v>163</v>
      </c>
      <c r="B66" s="66" t="s">
        <v>135</v>
      </c>
      <c r="C66" s="139">
        <v>0.84489999999999998</v>
      </c>
      <c r="D66" s="144"/>
      <c r="E66" s="144">
        <v>0.92589999999999995</v>
      </c>
      <c r="F66" s="139"/>
      <c r="G66" s="139"/>
      <c r="H66" s="141"/>
      <c r="I66" s="30">
        <v>0.84489999999999998</v>
      </c>
      <c r="J66" s="30">
        <v>0.92589999999999995</v>
      </c>
      <c r="L66" s="80">
        <f>L52*I66</f>
        <v>5.0693999999999999</v>
      </c>
      <c r="M66" s="80">
        <f>M52*I66</f>
        <v>8.4489999999999998</v>
      </c>
      <c r="O66" s="102">
        <f>O52*I66</f>
        <v>16.898</v>
      </c>
      <c r="P66" s="102">
        <f>P52*I66</f>
        <v>85.334900000000005</v>
      </c>
      <c r="R66" s="102">
        <f>R52*J66</f>
        <v>93.515899999999988</v>
      </c>
      <c r="S66" s="102">
        <f>S52*J66</f>
        <v>4571.1682999999994</v>
      </c>
      <c r="T66" s="102">
        <f>T52*J66</f>
        <v>617.57529999999997</v>
      </c>
      <c r="U66" s="102">
        <f>U52*J66</f>
        <v>929.60359999999991</v>
      </c>
      <c r="W66" s="103">
        <f>W52*K66</f>
        <v>0</v>
      </c>
      <c r="X66" s="103">
        <f>X52*K66</f>
        <v>0</v>
      </c>
      <c r="Y66" s="103">
        <f>Y52*K66</f>
        <v>0</v>
      </c>
    </row>
    <row r="67" spans="1:25" ht="13.5" hidden="1" thickBot="1" x14ac:dyDescent="0.25">
      <c r="A67" s="135" t="s">
        <v>164</v>
      </c>
      <c r="B67" s="66"/>
      <c r="C67" s="139"/>
      <c r="D67" s="144"/>
      <c r="E67" s="139"/>
      <c r="F67" s="139"/>
      <c r="G67" s="139"/>
      <c r="H67" s="141"/>
      <c r="M67" s="80"/>
      <c r="O67" s="102"/>
      <c r="P67" s="102"/>
      <c r="R67" s="102"/>
      <c r="S67" s="102"/>
      <c r="T67" s="102"/>
      <c r="U67" s="102"/>
      <c r="W67" s="103"/>
      <c r="X67" s="103"/>
      <c r="Y67" s="103"/>
    </row>
    <row r="68" spans="1:25" ht="13.5" hidden="1" thickBot="1" x14ac:dyDescent="0.25">
      <c r="A68" s="138" t="s">
        <v>165</v>
      </c>
      <c r="B68" s="66" t="s">
        <v>166</v>
      </c>
      <c r="C68" s="139"/>
      <c r="D68" s="144"/>
      <c r="E68" s="144">
        <v>40.15</v>
      </c>
      <c r="F68" s="139"/>
      <c r="G68" s="144">
        <v>40.15</v>
      </c>
      <c r="H68" s="141"/>
      <c r="J68" s="30">
        <v>40.15</v>
      </c>
      <c r="K68" s="30">
        <v>40.15</v>
      </c>
      <c r="M68" s="80"/>
      <c r="O68" s="102"/>
      <c r="P68" s="102"/>
      <c r="R68" s="103">
        <f>G68</f>
        <v>40.15</v>
      </c>
      <c r="S68" s="103">
        <f>G68</f>
        <v>40.15</v>
      </c>
      <c r="T68" s="103">
        <f>S68</f>
        <v>40.15</v>
      </c>
      <c r="U68" s="103">
        <f>S68</f>
        <v>40.15</v>
      </c>
      <c r="W68" s="103">
        <f>G68</f>
        <v>40.15</v>
      </c>
      <c r="X68" s="103">
        <f>W68</f>
        <v>40.15</v>
      </c>
      <c r="Y68" s="103">
        <f>W68</f>
        <v>40.15</v>
      </c>
    </row>
    <row r="69" spans="1:25" ht="13.5" hidden="1" thickBot="1" x14ac:dyDescent="0.25">
      <c r="A69" s="138" t="s">
        <v>167</v>
      </c>
      <c r="B69" s="66" t="s">
        <v>135</v>
      </c>
      <c r="C69" s="139">
        <v>0.7732</v>
      </c>
      <c r="D69" s="144"/>
      <c r="E69" s="139"/>
      <c r="F69" s="139"/>
      <c r="G69" s="139"/>
      <c r="H69" s="141"/>
      <c r="I69" s="30">
        <v>0.7732</v>
      </c>
      <c r="L69" s="80">
        <f>L52*I69</f>
        <v>4.6391999999999998</v>
      </c>
      <c r="M69" s="80">
        <f>M52*I69</f>
        <v>7.7320000000000002</v>
      </c>
      <c r="O69" s="102">
        <f>O52*I69</f>
        <v>15.464</v>
      </c>
      <c r="P69" s="102">
        <f>P52*I69</f>
        <v>78.093199999999996</v>
      </c>
      <c r="R69" s="102">
        <f>R52*J69</f>
        <v>0</v>
      </c>
      <c r="S69" s="102">
        <f>S52*K69</f>
        <v>0</v>
      </c>
      <c r="T69" s="102">
        <f>T52*J69</f>
        <v>0</v>
      </c>
      <c r="U69" s="102">
        <f>U52*J69</f>
        <v>0</v>
      </c>
      <c r="W69" s="103">
        <f>W52*K69</f>
        <v>0</v>
      </c>
      <c r="X69" s="103">
        <f>X52*K69</f>
        <v>0</v>
      </c>
      <c r="Y69" s="103">
        <f>Y52*K69</f>
        <v>0</v>
      </c>
    </row>
    <row r="70" spans="1:25" ht="13.5" hidden="1" thickBot="1" x14ac:dyDescent="0.25">
      <c r="A70" s="135" t="s">
        <v>168</v>
      </c>
      <c r="B70" s="66"/>
      <c r="C70" s="66"/>
      <c r="D70" s="144"/>
      <c r="E70" s="66"/>
      <c r="F70" s="66"/>
      <c r="G70" s="66"/>
      <c r="H70" s="141"/>
      <c r="M70" s="80"/>
      <c r="O70" s="102"/>
      <c r="P70" s="102"/>
      <c r="R70" s="102"/>
      <c r="S70" s="102"/>
      <c r="T70" s="102"/>
      <c r="U70" s="102"/>
      <c r="W70" s="103"/>
      <c r="X70" s="103"/>
      <c r="Y70" s="103"/>
    </row>
    <row r="71" spans="1:25" ht="13.5" hidden="1" thickBot="1" x14ac:dyDescent="0.25">
      <c r="A71" s="138" t="s">
        <v>169</v>
      </c>
      <c r="B71" s="66" t="s">
        <v>170</v>
      </c>
      <c r="C71" s="139">
        <v>5</v>
      </c>
      <c r="D71" s="144"/>
      <c r="E71" s="144">
        <v>28.72</v>
      </c>
      <c r="F71" s="66"/>
      <c r="G71" s="144">
        <v>28.72</v>
      </c>
      <c r="H71" s="141"/>
      <c r="I71" s="30">
        <v>5</v>
      </c>
      <c r="J71" s="30">
        <v>28.72</v>
      </c>
      <c r="K71" s="30">
        <v>28.72</v>
      </c>
      <c r="L71" s="80">
        <v>5</v>
      </c>
      <c r="M71" s="80">
        <v>5</v>
      </c>
      <c r="O71" s="102">
        <v>5</v>
      </c>
      <c r="P71" s="102">
        <v>5</v>
      </c>
      <c r="R71" s="103">
        <f>G71</f>
        <v>28.72</v>
      </c>
      <c r="S71" s="103">
        <f>G71</f>
        <v>28.72</v>
      </c>
      <c r="T71" s="103">
        <f>S71</f>
        <v>28.72</v>
      </c>
      <c r="U71" s="103">
        <f>S71</f>
        <v>28.72</v>
      </c>
      <c r="W71" s="103">
        <f>G71</f>
        <v>28.72</v>
      </c>
      <c r="X71" s="103">
        <f>W71</f>
        <v>28.72</v>
      </c>
      <c r="Y71" s="103">
        <f>W71</f>
        <v>28.72</v>
      </c>
    </row>
    <row r="72" spans="1:25" ht="13.5" hidden="1" thickBot="1" x14ac:dyDescent="0.25">
      <c r="A72" s="138" t="s">
        <v>171</v>
      </c>
      <c r="B72" s="66" t="s">
        <v>135</v>
      </c>
      <c r="C72" s="139">
        <v>0.45689999999999997</v>
      </c>
      <c r="D72" s="139"/>
      <c r="E72" s="139"/>
      <c r="F72" s="139"/>
      <c r="G72" s="139"/>
      <c r="H72" s="141"/>
      <c r="I72" s="30">
        <v>0.45689999999999997</v>
      </c>
      <c r="L72" s="80">
        <f>L52*I72</f>
        <v>2.7413999999999996</v>
      </c>
      <c r="M72" s="80">
        <f>M52*I72</f>
        <v>4.569</v>
      </c>
      <c r="O72" s="102">
        <f>O52*I72</f>
        <v>9.1379999999999999</v>
      </c>
      <c r="P72" s="102">
        <f>P52*I72</f>
        <v>46.146899999999995</v>
      </c>
      <c r="R72" s="102"/>
      <c r="S72" s="102"/>
      <c r="T72" s="102"/>
      <c r="U72" s="102"/>
      <c r="W72" s="103"/>
      <c r="X72" s="103"/>
      <c r="Y72" s="103"/>
    </row>
    <row r="73" spans="1:25" ht="13.5" hidden="1" thickBot="1" x14ac:dyDescent="0.25">
      <c r="A73" s="135" t="s">
        <v>172</v>
      </c>
      <c r="B73" s="66" t="s">
        <v>135</v>
      </c>
      <c r="C73" s="139" t="e">
        <f>#REF!</f>
        <v>#REF!</v>
      </c>
      <c r="D73" s="144"/>
      <c r="E73" s="144" t="e">
        <f>C73</f>
        <v>#REF!</v>
      </c>
      <c r="F73" s="144"/>
      <c r="G73" s="144" t="e">
        <f>C73</f>
        <v>#REF!</v>
      </c>
      <c r="H73" s="141"/>
      <c r="I73" s="64">
        <v>8.7900000000000006E-2</v>
      </c>
      <c r="J73" s="64">
        <v>8.7900000000000006E-2</v>
      </c>
      <c r="K73" s="64">
        <v>8.7900000000000006E-2</v>
      </c>
      <c r="L73" s="80">
        <f>-(L53+L54+L61+L62+L66+L69+L71+L72)*25%</f>
        <v>-14.855600000000003</v>
      </c>
      <c r="M73" s="80">
        <f>-(M53+M54+M61+M62+M66+M69+M71+M72)*25%</f>
        <v>-23.925999999999998</v>
      </c>
      <c r="O73" s="102">
        <f>O52*I73</f>
        <v>1.758</v>
      </c>
      <c r="P73" s="102">
        <f>P52*I73</f>
        <v>8.8779000000000003</v>
      </c>
      <c r="R73" s="102">
        <f>R52*J73</f>
        <v>8.8779000000000003</v>
      </c>
      <c r="S73" s="102">
        <f>S52*J73</f>
        <v>433.96230000000003</v>
      </c>
      <c r="T73" s="102">
        <f>T52*J73</f>
        <v>58.629300000000001</v>
      </c>
      <c r="U73" s="102">
        <f>U52*J73</f>
        <v>88.25160000000001</v>
      </c>
      <c r="W73" s="103">
        <f>W52*K73</f>
        <v>984.48</v>
      </c>
      <c r="X73" s="103">
        <f>X52*K73</f>
        <v>1722.8400000000001</v>
      </c>
      <c r="Y73" s="103">
        <f>Y52*K73</f>
        <v>19197.36</v>
      </c>
    </row>
    <row r="74" spans="1:25" ht="13.5" hidden="1" thickBot="1" x14ac:dyDescent="0.25">
      <c r="A74" s="135" t="s">
        <v>173</v>
      </c>
      <c r="B74" s="66"/>
      <c r="C74" s="139" t="e">
        <f>#REF!</f>
        <v>#REF!</v>
      </c>
      <c r="D74" s="144"/>
      <c r="E74" s="144" t="e">
        <f>C74</f>
        <v>#REF!</v>
      </c>
      <c r="F74" s="144"/>
      <c r="G74" s="144" t="e">
        <f>C74</f>
        <v>#REF!</v>
      </c>
      <c r="H74" s="141"/>
      <c r="I74" s="30">
        <v>1.2999999999999999E-3</v>
      </c>
      <c r="J74" s="30">
        <v>1.2999999999999999E-3</v>
      </c>
      <c r="K74" s="30">
        <v>1.2999999999999999E-3</v>
      </c>
      <c r="L74" s="106">
        <f>L52*I74</f>
        <v>7.7999999999999996E-3</v>
      </c>
      <c r="M74" s="80"/>
      <c r="O74" s="80">
        <f>-(O53+O54+O61+O62+O66+O69+O71+O72+O73)*5%</f>
        <v>-9.4083000000000006</v>
      </c>
      <c r="P74" s="107">
        <f>P52*I74</f>
        <v>0.1313</v>
      </c>
      <c r="R74" s="107">
        <f>R52*K74</f>
        <v>0.1313</v>
      </c>
      <c r="S74" s="107">
        <f>S52*J74</f>
        <v>6.4180999999999999</v>
      </c>
      <c r="T74" s="107">
        <f>T52*J74</f>
        <v>0.86709999999999998</v>
      </c>
      <c r="U74" s="107">
        <f>U52*J74</f>
        <v>1.3051999999999999</v>
      </c>
      <c r="W74" s="104">
        <f>W52*K74</f>
        <v>14.559999999999999</v>
      </c>
      <c r="X74" s="104">
        <f>X52*K74</f>
        <v>25.48</v>
      </c>
      <c r="Y74" s="104">
        <f>Y52*K74</f>
        <v>283.91999999999996</v>
      </c>
    </row>
    <row r="75" spans="1:25" ht="13.5" hidden="1" thickBot="1" x14ac:dyDescent="0.25">
      <c r="A75" s="135" t="s">
        <v>174</v>
      </c>
      <c r="B75" s="66"/>
      <c r="C75" s="139"/>
      <c r="D75" s="139"/>
      <c r="E75" s="139"/>
      <c r="F75" s="139"/>
      <c r="G75" s="139"/>
      <c r="H75" s="141"/>
      <c r="M75" s="80"/>
      <c r="O75" s="80"/>
      <c r="P75" s="80"/>
      <c r="R75" s="80"/>
      <c r="S75" s="80"/>
      <c r="T75" s="80"/>
      <c r="U75" s="80"/>
      <c r="W75" s="97"/>
      <c r="X75" s="97"/>
      <c r="Y75" s="97"/>
    </row>
    <row r="76" spans="1:25" ht="13.5" hidden="1" thickBot="1" x14ac:dyDescent="0.25">
      <c r="A76" s="138" t="s">
        <v>175</v>
      </c>
      <c r="B76" s="66" t="s">
        <v>135</v>
      </c>
      <c r="C76" s="139">
        <v>0.1163</v>
      </c>
      <c r="D76" s="139"/>
      <c r="E76" s="139">
        <v>0.1163</v>
      </c>
      <c r="F76" s="139"/>
      <c r="G76" s="144">
        <f>C76</f>
        <v>0.1163</v>
      </c>
      <c r="H76" s="141"/>
      <c r="I76" s="30">
        <v>0.1163</v>
      </c>
      <c r="J76" s="30">
        <v>0.1163</v>
      </c>
      <c r="K76" s="30">
        <v>0.1163</v>
      </c>
      <c r="L76" s="80">
        <f>L52*I76</f>
        <v>0.69779999999999998</v>
      </c>
      <c r="M76" s="80">
        <f>M52*I76</f>
        <v>1.163</v>
      </c>
      <c r="O76" s="80">
        <f>O52*I76</f>
        <v>2.3260000000000001</v>
      </c>
      <c r="P76" s="80">
        <f>P52*I76</f>
        <v>11.7463</v>
      </c>
      <c r="R76" s="80">
        <f>R52*J76</f>
        <v>11.7463</v>
      </c>
      <c r="S76" s="80">
        <f>S52*J76</f>
        <v>574.17309999999998</v>
      </c>
      <c r="T76" s="80">
        <f>T52*J76</f>
        <v>77.572100000000006</v>
      </c>
      <c r="U76" s="80">
        <f>U52*J76</f>
        <v>116.76520000000001</v>
      </c>
      <c r="W76" s="97">
        <f>W52*K76</f>
        <v>1302.56</v>
      </c>
      <c r="X76" s="97">
        <f>X52*K76</f>
        <v>2279.48</v>
      </c>
      <c r="Y76" s="97">
        <f>Y52*K76</f>
        <v>25399.920000000002</v>
      </c>
    </row>
    <row r="77" spans="1:25" ht="13.5" hidden="1" thickBot="1" x14ac:dyDescent="0.25">
      <c r="A77" s="138" t="s">
        <v>176</v>
      </c>
      <c r="B77" s="66" t="s">
        <v>135</v>
      </c>
      <c r="C77" s="139">
        <v>2.5000000000000001E-3</v>
      </c>
      <c r="D77" s="139"/>
      <c r="E77" s="139">
        <v>2.5000000000000001E-3</v>
      </c>
      <c r="F77" s="139"/>
      <c r="G77" s="144">
        <f>C77</f>
        <v>2.5000000000000001E-3</v>
      </c>
      <c r="H77" s="141"/>
      <c r="I77" s="30">
        <v>2.5000000000000001E-3</v>
      </c>
      <c r="J77" s="30">
        <v>2.5000000000000001E-3</v>
      </c>
      <c r="K77" s="30">
        <v>2.5000000000000001E-3</v>
      </c>
      <c r="L77" s="80">
        <f>L52*I77</f>
        <v>1.4999999999999999E-2</v>
      </c>
      <c r="M77" s="80">
        <f>M52*I77</f>
        <v>2.5000000000000001E-2</v>
      </c>
      <c r="O77" s="80">
        <f>O52*I77</f>
        <v>0.05</v>
      </c>
      <c r="P77" s="80">
        <f>P52*I77</f>
        <v>0.2525</v>
      </c>
      <c r="R77" s="80">
        <f>R52*J77</f>
        <v>0.2525</v>
      </c>
      <c r="S77" s="80">
        <f>S52*J77</f>
        <v>12.342500000000001</v>
      </c>
      <c r="T77" s="80">
        <f>T52*J77</f>
        <v>1.6675</v>
      </c>
      <c r="U77" s="80">
        <f>U52*J77</f>
        <v>2.5100000000000002</v>
      </c>
      <c r="W77" s="97">
        <f>W52*K77</f>
        <v>28</v>
      </c>
      <c r="X77" s="97">
        <f>X52*K77</f>
        <v>49</v>
      </c>
      <c r="Y77" s="97">
        <f>Y52*K77</f>
        <v>546</v>
      </c>
    </row>
    <row r="78" spans="1:25" ht="13.5" hidden="1" thickBot="1" x14ac:dyDescent="0.25">
      <c r="A78" s="145" t="s">
        <v>177</v>
      </c>
      <c r="B78" s="146" t="s">
        <v>135</v>
      </c>
      <c r="C78" s="147">
        <v>0.40039999999999998</v>
      </c>
      <c r="D78" s="147"/>
      <c r="E78" s="147">
        <v>0.40039999999999998</v>
      </c>
      <c r="F78" s="147"/>
      <c r="G78" s="144">
        <f>C78</f>
        <v>0.40039999999999998</v>
      </c>
      <c r="H78" s="141"/>
      <c r="I78" s="30">
        <v>0.40039999999999998</v>
      </c>
      <c r="J78" s="30">
        <v>0.40039999999999998</v>
      </c>
      <c r="K78" s="30">
        <v>0.40039999999999998</v>
      </c>
      <c r="L78" s="80">
        <f>L52*I78</f>
        <v>2.4024000000000001</v>
      </c>
      <c r="M78" s="80">
        <f>M52*I78</f>
        <v>4.0039999999999996</v>
      </c>
      <c r="O78" s="80">
        <f>O52*I78</f>
        <v>8.0079999999999991</v>
      </c>
      <c r="P78" s="80">
        <f>P52*I78</f>
        <v>40.440399999999997</v>
      </c>
      <c r="R78" s="80">
        <f>R52*J78</f>
        <v>40.440399999999997</v>
      </c>
      <c r="S78" s="80">
        <f>S52*J78</f>
        <v>1976.7747999999999</v>
      </c>
      <c r="T78" s="80">
        <f>T52*J78</f>
        <v>267.0668</v>
      </c>
      <c r="U78" s="80">
        <f>U52*J78</f>
        <v>402.0016</v>
      </c>
      <c r="W78" s="97">
        <f>W52*K78</f>
        <v>4484.4799999999996</v>
      </c>
      <c r="X78" s="97">
        <f>X52*K78</f>
        <v>7847.8399999999992</v>
      </c>
      <c r="Y78" s="97">
        <f>Y52*K78</f>
        <v>87447.360000000001</v>
      </c>
    </row>
    <row r="79" spans="1:25" ht="13.5" hidden="1" thickBot="1" x14ac:dyDescent="0.25">
      <c r="A79" s="148" t="s">
        <v>178</v>
      </c>
      <c r="B79" s="149"/>
      <c r="C79" s="114">
        <f>5.3668-0.2282+0.8382+0.7904+0.8449+0.7732+0.4569+0.0879+0.0013+0.1163+0.0025+0.4004</f>
        <v>9.4505999999999979</v>
      </c>
      <c r="D79" s="114"/>
      <c r="E79" s="114" t="e">
        <f>E57+E58+E61+E62+E66+E69+E72+E73+E74+E76+E77+E78</f>
        <v>#REF!</v>
      </c>
      <c r="F79" s="114"/>
      <c r="G79" s="114" t="e">
        <f>G57+G58+G61+G62+G66+G69+G72+G73+G74+G76+G77+G78</f>
        <v>#REF!</v>
      </c>
      <c r="H79" s="114"/>
      <c r="I79" s="114">
        <v>9.4505999999999997</v>
      </c>
      <c r="J79" s="114">
        <v>8.5427999999999997</v>
      </c>
      <c r="K79" s="114">
        <v>5.9752000000000001</v>
      </c>
      <c r="L79" s="115">
        <f>SUM(L53:L78)</f>
        <v>46.320600000000006</v>
      </c>
      <c r="M79" s="116">
        <f>SUM(M53:M78)</f>
        <v>74.688000000000002</v>
      </c>
      <c r="O79" s="117">
        <f>SUM(O53:O78)</f>
        <v>184.57770000000002</v>
      </c>
      <c r="P79" s="117">
        <f>SUM(P53:P78)</f>
        <v>959.51060000000007</v>
      </c>
      <c r="R79" s="117">
        <f>SUM(R53:R78)</f>
        <v>931.69279999999992</v>
      </c>
      <c r="S79" s="117">
        <f>SUM(S53:S78)</f>
        <v>42244.673600000002</v>
      </c>
      <c r="T79" s="117">
        <f>SUM(T53:T78)</f>
        <v>5766.9175999999979</v>
      </c>
      <c r="U79" s="117">
        <f>SUM(U53:U78)</f>
        <v>8645.8411999999989</v>
      </c>
      <c r="W79" s="118">
        <f>SUM(W53:W78)</f>
        <v>135729.73800000001</v>
      </c>
      <c r="X79" s="118">
        <f>SUM(X53:X78)</f>
        <v>223727.66339999999</v>
      </c>
      <c r="Y79" s="118">
        <f>SUM(Y53:Y78)</f>
        <v>1686551.9353999998</v>
      </c>
    </row>
    <row r="80" spans="1:25" ht="13.5" hidden="1" thickBot="1" x14ac:dyDescent="0.25">
      <c r="A80" s="148" t="s">
        <v>179</v>
      </c>
      <c r="B80" s="149" t="s">
        <v>166</v>
      </c>
      <c r="C80" s="150">
        <f>C71</f>
        <v>5</v>
      </c>
      <c r="D80" s="150"/>
      <c r="E80" s="150">
        <f>E68+E71</f>
        <v>68.87</v>
      </c>
      <c r="F80" s="150"/>
      <c r="G80" s="150">
        <f>G68+G71</f>
        <v>68.87</v>
      </c>
      <c r="H80" s="114"/>
      <c r="I80" s="120">
        <f>I53+I54+I55+I56+I61+I62+I66+I69+I72+I73</f>
        <v>9.158299999999997</v>
      </c>
      <c r="J80" s="64" t="e">
        <f>E79-J79</f>
        <v>#REF!</v>
      </c>
      <c r="K80" s="64" t="e">
        <f>G79-K79</f>
        <v>#REF!</v>
      </c>
      <c r="M80" s="30" t="s">
        <v>180</v>
      </c>
      <c r="O80" s="121">
        <f>O52*I82</f>
        <v>3.7240000000000002</v>
      </c>
      <c r="P80" s="121">
        <f>P52*I82</f>
        <v>18.8062</v>
      </c>
      <c r="R80" s="121">
        <f>R52*J82</f>
        <v>18.8062</v>
      </c>
      <c r="S80" s="121">
        <f>S52*K82</f>
        <v>919.26940000000002</v>
      </c>
      <c r="T80" s="121">
        <f>T52*J82</f>
        <v>124.19540000000001</v>
      </c>
      <c r="U80" s="121">
        <f>U52*J82</f>
        <v>186.94480000000001</v>
      </c>
      <c r="W80" s="122">
        <f>W52*K82</f>
        <v>2085.44</v>
      </c>
      <c r="X80" s="122">
        <f>X52*K82</f>
        <v>3649.52</v>
      </c>
      <c r="Y80" s="122">
        <f>Y52*K82</f>
        <v>40666.080000000002</v>
      </c>
    </row>
    <row r="81" spans="1:25" ht="14.25" hidden="1" thickTop="1" thickBot="1" x14ac:dyDescent="0.25">
      <c r="A81" s="148" t="s">
        <v>181</v>
      </c>
      <c r="B81" s="151" t="s">
        <v>158</v>
      </c>
      <c r="C81" s="114"/>
      <c r="D81" s="114"/>
      <c r="E81" s="114"/>
      <c r="F81" s="114"/>
      <c r="G81" s="114" t="e">
        <f>G60+G65</f>
        <v>#REF!</v>
      </c>
      <c r="H81" s="114"/>
      <c r="I81" s="30" t="s">
        <v>182</v>
      </c>
      <c r="J81" s="30" t="s">
        <v>182</v>
      </c>
      <c r="K81" s="30" t="s">
        <v>182</v>
      </c>
      <c r="M81" s="30" t="s">
        <v>183</v>
      </c>
      <c r="O81" s="121">
        <f>O52*I83</f>
        <v>4.5999999999999999E-2</v>
      </c>
      <c r="P81" s="121">
        <f>P52*I83</f>
        <v>0.23230000000000001</v>
      </c>
      <c r="R81" s="121">
        <f>R52*J83</f>
        <v>0.23230000000000001</v>
      </c>
      <c r="S81" s="121">
        <f>S52*K83</f>
        <v>11.3551</v>
      </c>
      <c r="T81" s="121">
        <f>T52*J83</f>
        <v>1.5341</v>
      </c>
      <c r="U81" s="121">
        <f>U52*J83</f>
        <v>2.3092000000000001</v>
      </c>
      <c r="W81" s="122">
        <f>W52*K83</f>
        <v>25.759999999999998</v>
      </c>
      <c r="X81" s="122">
        <f>X52*K83</f>
        <v>45.08</v>
      </c>
      <c r="Y81" s="122">
        <f>Y52*K83</f>
        <v>502.32</v>
      </c>
    </row>
    <row r="82" spans="1:25" ht="14.25" hidden="1" thickTop="1" thickBot="1" x14ac:dyDescent="0.25">
      <c r="A82" s="66"/>
      <c r="B82" s="66"/>
      <c r="C82" s="66"/>
      <c r="D82" s="970" t="s">
        <v>184</v>
      </c>
      <c r="E82" s="970"/>
      <c r="F82" s="971"/>
      <c r="G82" s="972" t="s">
        <v>185</v>
      </c>
      <c r="H82" s="970"/>
      <c r="I82" s="30">
        <v>0.1862</v>
      </c>
      <c r="J82" s="30">
        <v>0.1862</v>
      </c>
      <c r="K82" s="30">
        <v>0.1862</v>
      </c>
      <c r="M82" s="30" t="s">
        <v>186</v>
      </c>
      <c r="O82" s="121">
        <f>O52*I84</f>
        <v>0.48</v>
      </c>
      <c r="P82" s="121">
        <f>P52*I84</f>
        <v>2.4239999999999999</v>
      </c>
      <c r="R82" s="121">
        <f>R52*J84</f>
        <v>2.4239999999999999</v>
      </c>
      <c r="S82" s="121">
        <f>S52*J84</f>
        <v>118.488</v>
      </c>
      <c r="T82" s="121">
        <f>T52*J84</f>
        <v>16.007999999999999</v>
      </c>
      <c r="U82" s="121">
        <f>U52*J84</f>
        <v>24.096</v>
      </c>
      <c r="W82" s="122">
        <v>0</v>
      </c>
      <c r="X82" s="122">
        <v>0</v>
      </c>
      <c r="Y82" s="122">
        <v>0</v>
      </c>
    </row>
    <row r="83" spans="1:25" ht="13.5" hidden="1" thickBot="1" x14ac:dyDescent="0.25">
      <c r="A83" s="66"/>
      <c r="B83" s="66"/>
      <c r="C83" s="66"/>
      <c r="D83" s="152" t="s">
        <v>187</v>
      </c>
      <c r="E83" s="153" t="s">
        <v>188</v>
      </c>
      <c r="F83" s="154" t="s">
        <v>189</v>
      </c>
      <c r="G83" s="973" t="s">
        <v>190</v>
      </c>
      <c r="H83" s="974"/>
      <c r="I83" s="64">
        <v>2.3E-3</v>
      </c>
      <c r="J83" s="64">
        <v>2.3E-3</v>
      </c>
      <c r="K83" s="64">
        <v>2.3E-3</v>
      </c>
      <c r="M83" s="30" t="s">
        <v>191</v>
      </c>
      <c r="O83" s="121">
        <f>(SUM(O58,O66:O73))*12%</f>
        <v>5.2432800000000004</v>
      </c>
      <c r="P83" s="121">
        <f>(SUM(P58,P66:P73))*12%</f>
        <v>24.048564000000002</v>
      </c>
      <c r="R83" s="121">
        <f>(SUM(R58,R66:R73))*12%</f>
        <v>20.551656000000001</v>
      </c>
      <c r="S83" s="121">
        <f>(SUM(S58,S66:S73))*12%</f>
        <v>608.88007199999993</v>
      </c>
      <c r="T83" s="121">
        <f>(SUM(T58,T66:T73))*12%</f>
        <v>89.408951999999985</v>
      </c>
      <c r="U83" s="121">
        <f>(SUM(U58,U66:U73))*12%</f>
        <v>130.40702399999998</v>
      </c>
      <c r="W83" s="122">
        <f>(SUM(W58,W65:W73))*12%</f>
        <v>4627.1220000000003</v>
      </c>
      <c r="X83" s="122">
        <f>(SUM(X58,X65:X73))*12%</f>
        <v>7191.1211999999987</v>
      </c>
      <c r="Y83" s="122">
        <f>(SUM(Y58,Y65:Y73))*12%</f>
        <v>27290.943599999995</v>
      </c>
    </row>
    <row r="84" spans="1:25" ht="13.5" hidden="1" thickBot="1" x14ac:dyDescent="0.25">
      <c r="A84" s="66"/>
      <c r="B84" s="66"/>
      <c r="C84" s="66"/>
      <c r="D84" s="155" t="e">
        <f>#REF!</f>
        <v>#REF!</v>
      </c>
      <c r="E84" s="155" t="e">
        <f>#REF!</f>
        <v>#REF!</v>
      </c>
      <c r="F84" s="155" t="e">
        <f>#REF!</f>
        <v>#REF!</v>
      </c>
      <c r="G84" s="156">
        <v>0.12</v>
      </c>
      <c r="H84" s="157"/>
      <c r="I84" s="64">
        <v>2.4E-2</v>
      </c>
      <c r="J84" s="64">
        <v>2.4E-2</v>
      </c>
      <c r="O84" s="116">
        <f>SUM(O79:O83)</f>
        <v>194.07097999999999</v>
      </c>
      <c r="P84" s="116">
        <f>SUM(P79:P83)</f>
        <v>1005.0216640000001</v>
      </c>
      <c r="R84" s="116">
        <f>SUM(R79:R83)</f>
        <v>973.70695599999988</v>
      </c>
      <c r="S84" s="116">
        <f>SUM(S79:S83)</f>
        <v>43902.666171999997</v>
      </c>
      <c r="T84" s="116">
        <f>SUM(T79:T83)</f>
        <v>5998.064051999997</v>
      </c>
      <c r="U84" s="116">
        <f>SUM(U79:U83)</f>
        <v>8989.5982239999976</v>
      </c>
      <c r="W84" s="116">
        <f>SUM(W79:W83)</f>
        <v>142468.06000000003</v>
      </c>
      <c r="X84" s="116">
        <f>SUM(X79:X83)</f>
        <v>234613.38459999996</v>
      </c>
      <c r="Y84" s="116">
        <f>SUM(Y79:Y83)</f>
        <v>1755011.2789999999</v>
      </c>
    </row>
    <row r="85" spans="1:25" ht="13.5" hidden="1" thickBot="1" x14ac:dyDescent="0.25">
      <c r="A85" s="65" t="s">
        <v>192</v>
      </c>
      <c r="B85" s="65"/>
      <c r="C85" s="158" t="s">
        <v>193</v>
      </c>
      <c r="D85" s="66"/>
      <c r="E85" s="66"/>
      <c r="F85" s="66"/>
      <c r="G85" s="66"/>
      <c r="H85" s="66"/>
    </row>
    <row r="86" spans="1:25" ht="13.5" hidden="1" thickBot="1" x14ac:dyDescent="0.25">
      <c r="A86" s="65"/>
      <c r="B86" s="66"/>
      <c r="C86" s="65"/>
      <c r="D86" s="66"/>
      <c r="E86" s="66"/>
      <c r="F86" s="66"/>
      <c r="G86" s="66"/>
      <c r="H86" s="66"/>
    </row>
    <row r="87" spans="1:25" ht="13.5" hidden="1" thickBot="1" x14ac:dyDescent="0.25">
      <c r="A87" s="159" t="s">
        <v>194</v>
      </c>
      <c r="B87" s="132"/>
      <c r="C87" s="159" t="s">
        <v>195</v>
      </c>
      <c r="D87" s="66"/>
      <c r="E87" s="66"/>
      <c r="F87" s="66"/>
      <c r="G87" s="66"/>
      <c r="H87" s="66"/>
    </row>
    <row r="88" spans="1:25" ht="13.5" hidden="1" thickBot="1" x14ac:dyDescent="0.25">
      <c r="A88" s="65" t="s">
        <v>196</v>
      </c>
      <c r="B88" s="66"/>
      <c r="C88" s="65" t="s">
        <v>197</v>
      </c>
      <c r="D88" s="66"/>
      <c r="E88" s="66"/>
      <c r="F88" s="66"/>
      <c r="G88" s="66"/>
      <c r="H88" s="66"/>
    </row>
    <row r="89" spans="1:25" ht="13.5" hidden="1" thickBot="1" x14ac:dyDescent="0.25">
      <c r="A89" s="69" t="s">
        <v>64</v>
      </c>
      <c r="B89" s="69"/>
      <c r="C89" s="69"/>
      <c r="D89" s="69"/>
      <c r="E89" s="69"/>
      <c r="F89" s="69"/>
      <c r="G89" s="69"/>
      <c r="H89" s="69"/>
    </row>
    <row r="90" spans="1:25" ht="13.5" hidden="1" thickBot="1" x14ac:dyDescent="0.25">
      <c r="A90" s="69" t="s">
        <v>0</v>
      </c>
      <c r="B90" s="69"/>
      <c r="C90" s="69"/>
      <c r="D90" s="69"/>
      <c r="E90" s="69"/>
      <c r="F90" s="69"/>
      <c r="G90" s="69"/>
      <c r="H90" s="69"/>
    </row>
    <row r="91" spans="1:25" ht="13.5" hidden="1" thickBot="1" x14ac:dyDescent="0.25">
      <c r="A91" s="69"/>
      <c r="B91" s="69"/>
      <c r="C91" s="69"/>
      <c r="D91" s="69"/>
      <c r="E91" s="69"/>
      <c r="F91" s="69"/>
      <c r="G91" s="69"/>
      <c r="H91" s="69"/>
    </row>
    <row r="92" spans="1:25" ht="13.5" hidden="1" thickBot="1" x14ac:dyDescent="0.25">
      <c r="A92" s="160" t="s">
        <v>60</v>
      </c>
      <c r="B92" s="69"/>
      <c r="C92" s="69"/>
      <c r="D92" s="69"/>
      <c r="E92" s="69"/>
      <c r="F92" s="69"/>
      <c r="G92" s="69"/>
      <c r="H92" s="69"/>
      <c r="W92" s="34" t="s">
        <v>143</v>
      </c>
      <c r="X92" s="34" t="s">
        <v>144</v>
      </c>
      <c r="Y92" s="34" t="s">
        <v>1</v>
      </c>
    </row>
    <row r="93" spans="1:25" ht="13.5" hidden="1" thickBot="1" x14ac:dyDescent="0.25">
      <c r="A93" s="161" t="s">
        <v>55</v>
      </c>
      <c r="B93" s="69"/>
      <c r="C93" s="69"/>
      <c r="D93" s="69"/>
      <c r="E93" s="69"/>
      <c r="F93" s="69"/>
      <c r="G93" s="69"/>
      <c r="H93" s="69"/>
      <c r="W93" s="83" t="s">
        <v>145</v>
      </c>
      <c r="X93" s="83" t="s">
        <v>145</v>
      </c>
      <c r="Y93" s="83" t="s">
        <v>145</v>
      </c>
    </row>
    <row r="94" spans="1:25" ht="13.5" hidden="1" thickBot="1" x14ac:dyDescent="0.25">
      <c r="A94" s="161"/>
      <c r="B94" s="69"/>
      <c r="C94" s="69"/>
      <c r="D94" s="69"/>
      <c r="E94" s="69"/>
      <c r="F94" s="69"/>
      <c r="G94" s="69"/>
      <c r="H94" s="69"/>
      <c r="L94" s="84" t="s">
        <v>146</v>
      </c>
      <c r="M94" s="73" t="s">
        <v>6</v>
      </c>
      <c r="N94" s="73"/>
      <c r="O94" s="84" t="s">
        <v>146</v>
      </c>
      <c r="P94" s="73" t="s">
        <v>6</v>
      </c>
      <c r="R94" s="85" t="s">
        <v>147</v>
      </c>
      <c r="S94" s="85" t="s">
        <v>147</v>
      </c>
      <c r="T94" s="85" t="s">
        <v>147</v>
      </c>
      <c r="U94" s="85" t="s">
        <v>147</v>
      </c>
      <c r="W94" s="86">
        <f>0.2*700</f>
        <v>140</v>
      </c>
      <c r="X94" s="86">
        <f>0.31*700</f>
        <v>217</v>
      </c>
      <c r="Y94" s="86">
        <f>0.37*2100</f>
        <v>777</v>
      </c>
    </row>
    <row r="95" spans="1:25" ht="13.5" hidden="1" thickBot="1" x14ac:dyDescent="0.25">
      <c r="A95" s="975"/>
      <c r="B95" s="976"/>
      <c r="C95" s="162" t="s">
        <v>6</v>
      </c>
      <c r="D95" s="977" t="s">
        <v>47</v>
      </c>
      <c r="E95" s="978"/>
      <c r="F95" s="979"/>
      <c r="G95" s="977" t="s">
        <v>13</v>
      </c>
      <c r="H95" s="979"/>
      <c r="I95" s="162" t="s">
        <v>6</v>
      </c>
      <c r="J95" s="162" t="s">
        <v>47</v>
      </c>
      <c r="K95" s="162" t="s">
        <v>13</v>
      </c>
      <c r="L95" s="80" t="s">
        <v>130</v>
      </c>
      <c r="M95" s="88" t="s">
        <v>148</v>
      </c>
      <c r="O95" s="80" t="s">
        <v>130</v>
      </c>
      <c r="P95" s="80" t="s">
        <v>130</v>
      </c>
      <c r="R95" s="80" t="s">
        <v>130</v>
      </c>
      <c r="S95" s="80" t="s">
        <v>130</v>
      </c>
      <c r="T95" s="80" t="s">
        <v>130</v>
      </c>
      <c r="U95" s="80" t="s">
        <v>130</v>
      </c>
      <c r="W95" s="89" t="s">
        <v>130</v>
      </c>
      <c r="X95" s="89" t="s">
        <v>130</v>
      </c>
      <c r="Y95" s="89" t="s">
        <v>130</v>
      </c>
    </row>
    <row r="96" spans="1:25" ht="13.5" hidden="1" thickBot="1" x14ac:dyDescent="0.25">
      <c r="A96" s="163" t="s">
        <v>149</v>
      </c>
      <c r="B96" s="69"/>
      <c r="C96" s="164"/>
      <c r="D96" s="164"/>
      <c r="E96" s="164"/>
      <c r="F96" s="164"/>
      <c r="G96" s="164"/>
      <c r="H96" s="165"/>
      <c r="L96" s="93">
        <v>4</v>
      </c>
      <c r="M96" s="93">
        <v>18</v>
      </c>
      <c r="O96" s="93">
        <v>4</v>
      </c>
      <c r="P96" s="93">
        <v>101</v>
      </c>
      <c r="R96" s="93">
        <v>101</v>
      </c>
      <c r="S96" s="93">
        <v>4937</v>
      </c>
      <c r="T96" s="93">
        <v>667</v>
      </c>
      <c r="U96" s="93">
        <v>1004</v>
      </c>
      <c r="W96" s="94">
        <f>(929-908)*700</f>
        <v>14700</v>
      </c>
      <c r="X96" s="94">
        <f>(1002-977)*700</f>
        <v>17500</v>
      </c>
      <c r="Y96" s="94">
        <f>(2677-2571)*2100</f>
        <v>222600</v>
      </c>
    </row>
    <row r="97" spans="1:25" ht="13.5" hidden="1" thickBot="1" x14ac:dyDescent="0.25">
      <c r="A97" s="166" t="s">
        <v>150</v>
      </c>
      <c r="B97" s="69" t="s">
        <v>135</v>
      </c>
      <c r="C97" s="167" t="e">
        <f>C101-C98-C99-C100</f>
        <v>#REF!</v>
      </c>
      <c r="D97" s="167"/>
      <c r="E97" s="167" t="e">
        <f>E101-E98-E99-E100</f>
        <v>#REF!</v>
      </c>
      <c r="F97" s="167"/>
      <c r="G97" s="167" t="e">
        <f>G101-G98-G99-G100</f>
        <v>#REF!</v>
      </c>
      <c r="H97" s="168"/>
      <c r="I97" s="30">
        <v>5.2070999999999996</v>
      </c>
      <c r="J97" s="30">
        <v>5.2070999999999996</v>
      </c>
      <c r="K97" s="30">
        <v>5.2070999999999996</v>
      </c>
      <c r="L97" s="80">
        <f>L96*(I97+I99+I100)</f>
        <v>23.252399999999998</v>
      </c>
      <c r="M97" s="80">
        <f>M96*(I97+I99+I100)</f>
        <v>104.63579999999999</v>
      </c>
      <c r="O97" s="80">
        <f>O96*(I97+I99+I100)</f>
        <v>23.252399999999998</v>
      </c>
      <c r="P97" s="80">
        <f>P96*(I97+I99+I100)</f>
        <v>587.12309999999991</v>
      </c>
      <c r="R97" s="80">
        <f>R96*(J97+J99+J100)</f>
        <v>587.12309999999991</v>
      </c>
      <c r="S97" s="80">
        <f>S96*(J97+J99+J100)</f>
        <v>28699.274699999998</v>
      </c>
      <c r="T97" s="80">
        <f>T96*(J97+J99+J100)</f>
        <v>3877.3376999999996</v>
      </c>
      <c r="U97" s="80">
        <f>U96*(J97+J99+J100)</f>
        <v>5836.3523999999998</v>
      </c>
      <c r="W97" s="97">
        <f>W96*(K97+K99+K100)</f>
        <v>85452.569999999992</v>
      </c>
      <c r="X97" s="97">
        <f>X96*(K97+K99+K100)</f>
        <v>101729.24999999999</v>
      </c>
      <c r="Y97" s="97">
        <f>Y96*(K97+K99+K100)</f>
        <v>1293996.0599999998</v>
      </c>
    </row>
    <row r="98" spans="1:25" ht="13.5" hidden="1" thickBot="1" x14ac:dyDescent="0.25">
      <c r="A98" s="166" t="s">
        <v>151</v>
      </c>
      <c r="B98" s="69" t="s">
        <v>135</v>
      </c>
      <c r="C98" s="167">
        <v>1.77E-2</v>
      </c>
      <c r="D98" s="167"/>
      <c r="E98" s="167">
        <v>1.77E-2</v>
      </c>
      <c r="F98" s="167"/>
      <c r="G98" s="167">
        <v>1.77E-2</v>
      </c>
      <c r="H98" s="169"/>
      <c r="I98" s="64">
        <v>1.77E-2</v>
      </c>
      <c r="J98" s="64">
        <v>1.77E-2</v>
      </c>
      <c r="K98" s="30">
        <v>1.77E-2</v>
      </c>
      <c r="L98" s="80">
        <f>L96*I98</f>
        <v>7.0800000000000002E-2</v>
      </c>
      <c r="M98" s="80">
        <f>M96*I98</f>
        <v>0.31859999999999999</v>
      </c>
      <c r="O98" s="80">
        <f>O96*I98</f>
        <v>7.0800000000000002E-2</v>
      </c>
      <c r="P98" s="80">
        <f>P96*I98</f>
        <v>1.7877000000000001</v>
      </c>
      <c r="R98" s="80">
        <f>R96*J98</f>
        <v>1.7877000000000001</v>
      </c>
      <c r="S98" s="80">
        <f>S96*J98</f>
        <v>87.384900000000002</v>
      </c>
      <c r="T98" s="80">
        <f>T96*J98</f>
        <v>11.805900000000001</v>
      </c>
      <c r="U98" s="80">
        <f>U96*J98</f>
        <v>17.770800000000001</v>
      </c>
      <c r="W98" s="97">
        <f>W96*K98</f>
        <v>260.19</v>
      </c>
      <c r="X98" s="97">
        <f>X96*K98</f>
        <v>309.75</v>
      </c>
      <c r="Y98" s="97">
        <f>Y96*K98</f>
        <v>3940.02</v>
      </c>
    </row>
    <row r="99" spans="1:25" ht="13.5" hidden="1" thickBot="1" x14ac:dyDescent="0.25">
      <c r="A99" s="166" t="s">
        <v>152</v>
      </c>
      <c r="B99" s="69" t="s">
        <v>135</v>
      </c>
      <c r="C99" s="167">
        <v>0.48470000000000002</v>
      </c>
      <c r="D99" s="167"/>
      <c r="E99" s="167">
        <v>0.48470000000000002</v>
      </c>
      <c r="F99" s="167"/>
      <c r="G99" s="167">
        <v>0.48470000000000002</v>
      </c>
      <c r="H99" s="169"/>
      <c r="I99" s="64">
        <v>0.48470000000000002</v>
      </c>
      <c r="J99" s="64">
        <v>0.48470000000000002</v>
      </c>
      <c r="K99" s="64">
        <v>0.48470000000000002</v>
      </c>
      <c r="M99" s="80"/>
      <c r="O99" s="80"/>
      <c r="P99" s="80"/>
      <c r="R99" s="80"/>
      <c r="S99" s="80"/>
      <c r="T99" s="80"/>
      <c r="U99" s="80"/>
      <c r="W99" s="97"/>
      <c r="X99" s="97"/>
      <c r="Y99" s="97"/>
    </row>
    <row r="100" spans="1:25" ht="13.5" hidden="1" thickBot="1" x14ac:dyDescent="0.25">
      <c r="A100" s="166" t="s">
        <v>153</v>
      </c>
      <c r="B100" s="69" t="s">
        <v>135</v>
      </c>
      <c r="C100" s="167">
        <v>0.12130000000000001</v>
      </c>
      <c r="D100" s="167"/>
      <c r="E100" s="167">
        <v>0.12130000000000001</v>
      </c>
      <c r="F100" s="167"/>
      <c r="G100" s="167">
        <v>0.12130000000000001</v>
      </c>
      <c r="H100" s="169"/>
      <c r="I100" s="64">
        <v>0.12130000000000001</v>
      </c>
      <c r="J100" s="64">
        <v>0.12130000000000001</v>
      </c>
      <c r="K100" s="64">
        <v>0.12130000000000001</v>
      </c>
      <c r="M100" s="80"/>
      <c r="O100" s="80"/>
      <c r="P100" s="80"/>
      <c r="R100" s="80"/>
      <c r="S100" s="80"/>
      <c r="T100" s="80"/>
      <c r="U100" s="80"/>
      <c r="W100" s="97"/>
      <c r="X100" s="97"/>
      <c r="Y100" s="97"/>
    </row>
    <row r="101" spans="1:25" ht="13.5" hidden="1" thickBot="1" x14ac:dyDescent="0.25">
      <c r="A101" s="166" t="s">
        <v>154</v>
      </c>
      <c r="B101" s="69"/>
      <c r="C101" s="170" t="e">
        <f>#REF!</f>
        <v>#REF!</v>
      </c>
      <c r="D101" s="170"/>
      <c r="E101" s="170" t="e">
        <f>C101</f>
        <v>#REF!</v>
      </c>
      <c r="F101" s="170"/>
      <c r="G101" s="170" t="e">
        <f>C101</f>
        <v>#REF!</v>
      </c>
      <c r="H101" s="171"/>
      <c r="M101" s="80"/>
      <c r="O101" s="80"/>
      <c r="P101" s="80"/>
      <c r="R101" s="80"/>
      <c r="S101" s="80"/>
      <c r="T101" s="80"/>
      <c r="U101" s="80"/>
      <c r="W101" s="97"/>
      <c r="X101" s="97"/>
      <c r="Y101" s="97"/>
    </row>
    <row r="102" spans="1:25" ht="13.5" hidden="1" thickBot="1" x14ac:dyDescent="0.25">
      <c r="A102" s="163" t="s">
        <v>155</v>
      </c>
      <c r="B102" s="69" t="s">
        <v>135</v>
      </c>
      <c r="C102" s="167" t="e">
        <f>(-517596.45+98324.4)/#REF!</f>
        <v>#REF!</v>
      </c>
      <c r="D102" s="167"/>
      <c r="E102" s="167"/>
      <c r="F102" s="167"/>
      <c r="G102" s="167"/>
      <c r="H102" s="168"/>
      <c r="I102" s="64">
        <v>-0.19439999999999999</v>
      </c>
      <c r="J102" s="101"/>
      <c r="K102" s="101"/>
      <c r="L102" s="80">
        <f>L96*I102</f>
        <v>-0.77759999999999996</v>
      </c>
      <c r="M102" s="80">
        <f>M96*I102</f>
        <v>-3.4991999999999996</v>
      </c>
      <c r="O102" s="102">
        <f>O96*I102</f>
        <v>-0.77759999999999996</v>
      </c>
      <c r="P102" s="102">
        <f>P96*I102</f>
        <v>-19.634399999999999</v>
      </c>
      <c r="R102" s="102">
        <f>R96*J102</f>
        <v>0</v>
      </c>
      <c r="S102" s="102">
        <f>S96*K102</f>
        <v>0</v>
      </c>
      <c r="T102" s="102">
        <f>T96*J102</f>
        <v>0</v>
      </c>
      <c r="U102" s="102">
        <f>U96*J102</f>
        <v>0</v>
      </c>
      <c r="W102" s="103">
        <f>W96*K102</f>
        <v>0</v>
      </c>
      <c r="X102" s="103">
        <f>X96*K102</f>
        <v>0</v>
      </c>
      <c r="Y102" s="103">
        <f>Y96*K102</f>
        <v>0</v>
      </c>
    </row>
    <row r="103" spans="1:25" ht="13.5" hidden="1" thickBot="1" x14ac:dyDescent="0.25">
      <c r="A103" s="163" t="s">
        <v>156</v>
      </c>
      <c r="B103" s="69"/>
      <c r="C103" s="167"/>
      <c r="D103" s="167"/>
      <c r="E103" s="167"/>
      <c r="F103" s="167"/>
      <c r="G103" s="167"/>
      <c r="H103" s="168"/>
      <c r="M103" s="80"/>
      <c r="O103" s="80"/>
      <c r="P103" s="80"/>
      <c r="R103" s="80"/>
      <c r="S103" s="80"/>
      <c r="T103" s="80"/>
      <c r="U103" s="80"/>
      <c r="W103" s="97"/>
      <c r="X103" s="97"/>
      <c r="Y103" s="97"/>
    </row>
    <row r="104" spans="1:25" ht="13.5" hidden="1" thickBot="1" x14ac:dyDescent="0.25">
      <c r="A104" s="166" t="s">
        <v>157</v>
      </c>
      <c r="B104" s="69" t="s">
        <v>158</v>
      </c>
      <c r="C104" s="167"/>
      <c r="D104" s="167"/>
      <c r="E104" s="167"/>
      <c r="F104" s="167"/>
      <c r="G104" s="167" t="e">
        <f>#REF!</f>
        <v>#REF!</v>
      </c>
      <c r="H104" s="169"/>
      <c r="K104" s="64">
        <v>220.4247</v>
      </c>
      <c r="M104" s="80"/>
      <c r="O104" s="80"/>
      <c r="P104" s="80"/>
      <c r="R104" s="80"/>
      <c r="S104" s="80"/>
      <c r="T104" s="80"/>
      <c r="U104" s="80"/>
      <c r="W104" s="104">
        <f>W94*K104</f>
        <v>30859.457999999999</v>
      </c>
      <c r="X104" s="97">
        <f>X94*K104</f>
        <v>47832.159899999999</v>
      </c>
      <c r="Y104" s="97">
        <f>Y94*K104</f>
        <v>171269.99189999999</v>
      </c>
    </row>
    <row r="105" spans="1:25" ht="13.5" hidden="1" thickBot="1" x14ac:dyDescent="0.25">
      <c r="A105" s="166" t="s">
        <v>159</v>
      </c>
      <c r="B105" s="69" t="s">
        <v>135</v>
      </c>
      <c r="C105" s="167" t="e">
        <f>#REF!</f>
        <v>#REF!</v>
      </c>
      <c r="D105" s="167"/>
      <c r="E105" s="167" t="e">
        <f>#REF!</f>
        <v>#REF!</v>
      </c>
      <c r="F105" s="167"/>
      <c r="G105" s="167"/>
      <c r="H105" s="169"/>
      <c r="I105" s="30">
        <v>0.89970000000000006</v>
      </c>
      <c r="J105" s="64">
        <v>0.82</v>
      </c>
      <c r="L105" s="80">
        <f>L96*I105</f>
        <v>3.5988000000000002</v>
      </c>
      <c r="M105" s="80">
        <f>M96*I105</f>
        <v>16.194600000000001</v>
      </c>
      <c r="O105" s="80">
        <f>O96*I105</f>
        <v>3.5988000000000002</v>
      </c>
      <c r="P105" s="80">
        <f>P96*I105</f>
        <v>90.869700000000009</v>
      </c>
      <c r="R105" s="80">
        <f>R96*J105</f>
        <v>82.82</v>
      </c>
      <c r="S105" s="80">
        <f>S96*J105</f>
        <v>4048.3399999999997</v>
      </c>
      <c r="T105" s="80">
        <f>T96*J105</f>
        <v>546.93999999999994</v>
      </c>
      <c r="U105" s="80">
        <f>U96*J105</f>
        <v>823.28</v>
      </c>
      <c r="W105" s="97">
        <f>W96*K105</f>
        <v>0</v>
      </c>
      <c r="X105" s="97">
        <f>X96*K105</f>
        <v>0</v>
      </c>
      <c r="Y105" s="97">
        <f>Y96*K105</f>
        <v>0</v>
      </c>
    </row>
    <row r="106" spans="1:25" ht="13.5" hidden="1" thickBot="1" x14ac:dyDescent="0.25">
      <c r="A106" s="163" t="s">
        <v>160</v>
      </c>
      <c r="B106" s="69" t="s">
        <v>135</v>
      </c>
      <c r="C106" s="167" t="e">
        <f>#REF!</f>
        <v>#REF!</v>
      </c>
      <c r="D106" s="167"/>
      <c r="E106" s="167" t="e">
        <f>#REF!</f>
        <v>#REF!</v>
      </c>
      <c r="F106" s="167"/>
      <c r="G106" s="167">
        <v>0</v>
      </c>
      <c r="H106" s="169"/>
      <c r="I106" s="30">
        <v>0.86819999999999997</v>
      </c>
      <c r="J106" s="30">
        <v>0.8579</v>
      </c>
      <c r="K106" s="30">
        <v>0</v>
      </c>
      <c r="L106" s="80">
        <f>L96*I106</f>
        <v>3.4727999999999999</v>
      </c>
      <c r="M106" s="80">
        <f>M96*I106</f>
        <v>15.627599999999999</v>
      </c>
      <c r="O106" s="80">
        <f>O96*I106</f>
        <v>3.4727999999999999</v>
      </c>
      <c r="P106" s="80">
        <f>P96*I106</f>
        <v>87.688199999999995</v>
      </c>
      <c r="R106" s="80">
        <f>R96*J106</f>
        <v>86.647899999999993</v>
      </c>
      <c r="S106" s="80">
        <f>S96*J106</f>
        <v>4235.4522999999999</v>
      </c>
      <c r="T106" s="80">
        <f>T96*J106</f>
        <v>572.21929999999998</v>
      </c>
      <c r="U106" s="80">
        <f>U96*J106</f>
        <v>861.33159999999998</v>
      </c>
      <c r="W106" s="97">
        <f>W96*K106</f>
        <v>0</v>
      </c>
      <c r="X106" s="97">
        <f>X96*K106</f>
        <v>0</v>
      </c>
      <c r="Y106" s="97">
        <f>Y96*K106</f>
        <v>0</v>
      </c>
    </row>
    <row r="107" spans="1:25" ht="13.5" hidden="1" thickBot="1" x14ac:dyDescent="0.25">
      <c r="A107" s="166"/>
      <c r="B107" s="69"/>
      <c r="C107" s="167"/>
      <c r="D107" s="167"/>
      <c r="E107" s="167"/>
      <c r="F107" s="167"/>
      <c r="G107" s="167"/>
      <c r="H107" s="169"/>
      <c r="M107" s="80"/>
      <c r="O107" s="80"/>
      <c r="P107" s="80"/>
      <c r="R107" s="80"/>
      <c r="S107" s="80"/>
      <c r="T107" s="80"/>
      <c r="U107" s="80"/>
      <c r="W107" s="97"/>
      <c r="X107" s="97"/>
      <c r="Y107" s="97"/>
    </row>
    <row r="108" spans="1:25" ht="13.5" hidden="1" thickBot="1" x14ac:dyDescent="0.25">
      <c r="A108" s="163" t="s">
        <v>161</v>
      </c>
      <c r="B108" s="69"/>
      <c r="C108" s="167"/>
      <c r="D108" s="167"/>
      <c r="E108" s="167"/>
      <c r="F108" s="167"/>
      <c r="G108" s="167"/>
      <c r="H108" s="169"/>
      <c r="M108" s="80"/>
      <c r="O108" s="80"/>
      <c r="P108" s="80"/>
      <c r="R108" s="80"/>
      <c r="S108" s="80"/>
      <c r="T108" s="80"/>
      <c r="U108" s="80"/>
      <c r="W108" s="97"/>
      <c r="X108" s="97"/>
      <c r="Y108" s="97"/>
    </row>
    <row r="109" spans="1:25" ht="13.5" hidden="1" thickBot="1" x14ac:dyDescent="0.25">
      <c r="A109" s="166" t="s">
        <v>162</v>
      </c>
      <c r="B109" s="69" t="s">
        <v>158</v>
      </c>
      <c r="C109" s="167"/>
      <c r="D109" s="167"/>
      <c r="E109" s="167"/>
      <c r="F109" s="167"/>
      <c r="G109" s="167">
        <v>267.89999999999998</v>
      </c>
      <c r="H109" s="169"/>
      <c r="K109" s="30">
        <v>267.89999999999998</v>
      </c>
      <c r="M109" s="80"/>
      <c r="O109" s="80"/>
      <c r="P109" s="80"/>
      <c r="R109" s="80"/>
      <c r="S109" s="80"/>
      <c r="T109" s="80"/>
      <c r="U109" s="80"/>
      <c r="W109" s="104">
        <f>W94*K109</f>
        <v>37506</v>
      </c>
      <c r="X109" s="104">
        <f>X94*K109</f>
        <v>58134.299999999996</v>
      </c>
      <c r="Y109" s="104">
        <f>Y94*K109</f>
        <v>208158.3</v>
      </c>
    </row>
    <row r="110" spans="1:25" ht="13.5" hidden="1" thickBot="1" x14ac:dyDescent="0.25">
      <c r="A110" s="166" t="s">
        <v>163</v>
      </c>
      <c r="B110" s="69" t="s">
        <v>135</v>
      </c>
      <c r="C110" s="167">
        <v>0.84489999999999998</v>
      </c>
      <c r="D110" s="172"/>
      <c r="E110" s="172">
        <v>0.92589999999999995</v>
      </c>
      <c r="F110" s="167"/>
      <c r="G110" s="167"/>
      <c r="H110" s="169"/>
      <c r="I110" s="30">
        <v>0.84489999999999998</v>
      </c>
      <c r="J110" s="30">
        <v>0.92589999999999995</v>
      </c>
      <c r="L110" s="80">
        <f>L96*I110</f>
        <v>3.3795999999999999</v>
      </c>
      <c r="M110" s="80">
        <f>M96*I110</f>
        <v>15.2082</v>
      </c>
      <c r="O110" s="102">
        <f>O96*I110</f>
        <v>3.3795999999999999</v>
      </c>
      <c r="P110" s="102">
        <f>P96*I110</f>
        <v>85.334900000000005</v>
      </c>
      <c r="R110" s="102">
        <f>R96*J110</f>
        <v>93.515899999999988</v>
      </c>
      <c r="S110" s="102">
        <f>S96*J110</f>
        <v>4571.1682999999994</v>
      </c>
      <c r="T110" s="102">
        <f>T96*J110</f>
        <v>617.57529999999997</v>
      </c>
      <c r="U110" s="102">
        <f>U96*J110</f>
        <v>929.60359999999991</v>
      </c>
      <c r="W110" s="103">
        <f>W96*K110</f>
        <v>0</v>
      </c>
      <c r="X110" s="103">
        <f>X96*K110</f>
        <v>0</v>
      </c>
      <c r="Y110" s="103">
        <f>Y96*K110</f>
        <v>0</v>
      </c>
    </row>
    <row r="111" spans="1:25" ht="13.5" hidden="1" thickBot="1" x14ac:dyDescent="0.25">
      <c r="A111" s="163" t="s">
        <v>164</v>
      </c>
      <c r="B111" s="69"/>
      <c r="C111" s="167"/>
      <c r="D111" s="172"/>
      <c r="E111" s="167"/>
      <c r="F111" s="167"/>
      <c r="G111" s="167"/>
      <c r="H111" s="169"/>
      <c r="M111" s="80"/>
      <c r="O111" s="102"/>
      <c r="P111" s="102"/>
      <c r="R111" s="102"/>
      <c r="S111" s="102"/>
      <c r="T111" s="102"/>
      <c r="U111" s="102"/>
      <c r="W111" s="103"/>
      <c r="X111" s="103"/>
      <c r="Y111" s="103"/>
    </row>
    <row r="112" spans="1:25" ht="13.5" hidden="1" thickBot="1" x14ac:dyDescent="0.25">
      <c r="A112" s="166" t="s">
        <v>165</v>
      </c>
      <c r="B112" s="69" t="s">
        <v>166</v>
      </c>
      <c r="C112" s="167"/>
      <c r="D112" s="172"/>
      <c r="E112" s="172">
        <v>40.15</v>
      </c>
      <c r="F112" s="167"/>
      <c r="G112" s="172">
        <v>40.15</v>
      </c>
      <c r="H112" s="169"/>
      <c r="J112" s="30">
        <v>40.15</v>
      </c>
      <c r="K112" s="30">
        <v>40.15</v>
      </c>
      <c r="M112" s="80"/>
      <c r="O112" s="102"/>
      <c r="P112" s="102"/>
      <c r="R112" s="103">
        <f>G112</f>
        <v>40.15</v>
      </c>
      <c r="S112" s="103">
        <f>G112</f>
        <v>40.15</v>
      </c>
      <c r="T112" s="103">
        <f>S112</f>
        <v>40.15</v>
      </c>
      <c r="U112" s="103">
        <f>S112</f>
        <v>40.15</v>
      </c>
      <c r="W112" s="103">
        <f>G112</f>
        <v>40.15</v>
      </c>
      <c r="X112" s="103">
        <f>W112</f>
        <v>40.15</v>
      </c>
      <c r="Y112" s="103">
        <f>W112</f>
        <v>40.15</v>
      </c>
    </row>
    <row r="113" spans="1:25" ht="13.5" hidden="1" thickBot="1" x14ac:dyDescent="0.25">
      <c r="A113" s="166" t="s">
        <v>167</v>
      </c>
      <c r="B113" s="69" t="s">
        <v>135</v>
      </c>
      <c r="C113" s="167">
        <v>0.7732</v>
      </c>
      <c r="D113" s="172"/>
      <c r="E113" s="167"/>
      <c r="F113" s="167"/>
      <c r="G113" s="167"/>
      <c r="H113" s="169"/>
      <c r="I113" s="30">
        <v>0.7732</v>
      </c>
      <c r="L113" s="80">
        <f>L96*I113</f>
        <v>3.0928</v>
      </c>
      <c r="M113" s="80">
        <f>M96*I113</f>
        <v>13.9176</v>
      </c>
      <c r="O113" s="102">
        <f>O96*I113</f>
        <v>3.0928</v>
      </c>
      <c r="P113" s="102">
        <f>P96*I113</f>
        <v>78.093199999999996</v>
      </c>
      <c r="R113" s="102">
        <f>R96*J113</f>
        <v>0</v>
      </c>
      <c r="S113" s="102">
        <f>S96*K113</f>
        <v>0</v>
      </c>
      <c r="T113" s="102">
        <f>T96*J113</f>
        <v>0</v>
      </c>
      <c r="U113" s="102">
        <f>U96*J113</f>
        <v>0</v>
      </c>
      <c r="W113" s="103">
        <f>W96*K113</f>
        <v>0</v>
      </c>
      <c r="X113" s="103">
        <f>X96*K113</f>
        <v>0</v>
      </c>
      <c r="Y113" s="103">
        <f>Y96*K113</f>
        <v>0</v>
      </c>
    </row>
    <row r="114" spans="1:25" ht="13.5" hidden="1" thickBot="1" x14ac:dyDescent="0.25">
      <c r="A114" s="163" t="s">
        <v>168</v>
      </c>
      <c r="B114" s="69"/>
      <c r="C114" s="69"/>
      <c r="D114" s="172"/>
      <c r="E114" s="69"/>
      <c r="F114" s="69"/>
      <c r="G114" s="69"/>
      <c r="H114" s="169"/>
      <c r="M114" s="80"/>
      <c r="O114" s="102"/>
      <c r="P114" s="102"/>
      <c r="R114" s="102"/>
      <c r="S114" s="102"/>
      <c r="T114" s="102"/>
      <c r="U114" s="102"/>
      <c r="W114" s="103"/>
      <c r="X114" s="103"/>
      <c r="Y114" s="103"/>
    </row>
    <row r="115" spans="1:25" ht="13.5" hidden="1" thickBot="1" x14ac:dyDescent="0.25">
      <c r="A115" s="166" t="s">
        <v>169</v>
      </c>
      <c r="B115" s="69" t="s">
        <v>170</v>
      </c>
      <c r="C115" s="167">
        <v>5</v>
      </c>
      <c r="D115" s="172"/>
      <c r="E115" s="172">
        <v>28.72</v>
      </c>
      <c r="F115" s="69"/>
      <c r="G115" s="172">
        <v>28.72</v>
      </c>
      <c r="H115" s="169"/>
      <c r="I115" s="30">
        <v>5</v>
      </c>
      <c r="J115" s="30">
        <v>28.72</v>
      </c>
      <c r="K115" s="30">
        <v>28.72</v>
      </c>
      <c r="L115" s="80">
        <v>5</v>
      </c>
      <c r="M115" s="80">
        <v>5</v>
      </c>
      <c r="O115" s="102">
        <v>5</v>
      </c>
      <c r="P115" s="102">
        <v>5</v>
      </c>
      <c r="R115" s="103">
        <f>G115</f>
        <v>28.72</v>
      </c>
      <c r="S115" s="103">
        <f>G115</f>
        <v>28.72</v>
      </c>
      <c r="T115" s="103">
        <f>S115</f>
        <v>28.72</v>
      </c>
      <c r="U115" s="103">
        <f>S115</f>
        <v>28.72</v>
      </c>
      <c r="W115" s="103">
        <f>G115</f>
        <v>28.72</v>
      </c>
      <c r="X115" s="103">
        <f>W115</f>
        <v>28.72</v>
      </c>
      <c r="Y115" s="103">
        <f>W115</f>
        <v>28.72</v>
      </c>
    </row>
    <row r="116" spans="1:25" ht="13.5" hidden="1" thickBot="1" x14ac:dyDescent="0.25">
      <c r="A116" s="166" t="s">
        <v>171</v>
      </c>
      <c r="B116" s="69" t="s">
        <v>135</v>
      </c>
      <c r="C116" s="167">
        <v>0.45689999999999997</v>
      </c>
      <c r="D116" s="167"/>
      <c r="E116" s="167"/>
      <c r="F116" s="167"/>
      <c r="G116" s="167"/>
      <c r="H116" s="169"/>
      <c r="I116" s="30">
        <v>0.45689999999999997</v>
      </c>
      <c r="L116" s="80">
        <f>L96*I116</f>
        <v>1.8275999999999999</v>
      </c>
      <c r="M116" s="80">
        <f>M96*I116</f>
        <v>8.2241999999999997</v>
      </c>
      <c r="O116" s="102">
        <f>O96*I116</f>
        <v>1.8275999999999999</v>
      </c>
      <c r="P116" s="102">
        <f>P96*I116</f>
        <v>46.146899999999995</v>
      </c>
      <c r="R116" s="102"/>
      <c r="S116" s="102"/>
      <c r="T116" s="102"/>
      <c r="U116" s="102"/>
      <c r="W116" s="103"/>
      <c r="X116" s="103"/>
      <c r="Y116" s="103"/>
    </row>
    <row r="117" spans="1:25" ht="13.5" hidden="1" thickBot="1" x14ac:dyDescent="0.25">
      <c r="A117" s="163" t="s">
        <v>172</v>
      </c>
      <c r="B117" s="69" t="s">
        <v>135</v>
      </c>
      <c r="C117" s="167" t="e">
        <f>#REF!</f>
        <v>#REF!</v>
      </c>
      <c r="D117" s="172"/>
      <c r="E117" s="172" t="e">
        <f>C117</f>
        <v>#REF!</v>
      </c>
      <c r="F117" s="172"/>
      <c r="G117" s="172" t="e">
        <f>C117</f>
        <v>#REF!</v>
      </c>
      <c r="H117" s="169"/>
      <c r="I117" s="64">
        <v>0.115</v>
      </c>
      <c r="J117" s="64">
        <v>0.115</v>
      </c>
      <c r="K117" s="64">
        <v>0.115</v>
      </c>
      <c r="L117" s="80">
        <f>-(L97+L98+L105+L106+L110+L113+L115+L116)*5%</f>
        <v>-2.1847399999999997</v>
      </c>
      <c r="M117" s="80">
        <f>-(M97+M98+M105+M106+M110+M113+M115+M116)*10%</f>
        <v>-17.912659999999999</v>
      </c>
      <c r="O117" s="102">
        <f>O96*I117</f>
        <v>0.46</v>
      </c>
      <c r="P117" s="102">
        <f>P96*I117</f>
        <v>11.615</v>
      </c>
      <c r="R117" s="102">
        <f>R96*J117</f>
        <v>11.615</v>
      </c>
      <c r="S117" s="102">
        <f>S96*J117</f>
        <v>567.755</v>
      </c>
      <c r="T117" s="102">
        <f>T96*J117</f>
        <v>76.704999999999998</v>
      </c>
      <c r="U117" s="102">
        <f>U96*J117</f>
        <v>115.46000000000001</v>
      </c>
      <c r="W117" s="103">
        <f>W96*K117</f>
        <v>1690.5</v>
      </c>
      <c r="X117" s="103">
        <f>X96*K117</f>
        <v>2012.5</v>
      </c>
      <c r="Y117" s="103">
        <f>Y96*K117</f>
        <v>25599</v>
      </c>
    </row>
    <row r="118" spans="1:25" ht="13.5" hidden="1" thickBot="1" x14ac:dyDescent="0.25">
      <c r="A118" s="163" t="s">
        <v>173</v>
      </c>
      <c r="B118" s="69"/>
      <c r="C118" s="167" t="e">
        <f>#REF!</f>
        <v>#REF!</v>
      </c>
      <c r="D118" s="172"/>
      <c r="E118" s="172" t="e">
        <f>C118</f>
        <v>#REF!</v>
      </c>
      <c r="F118" s="172"/>
      <c r="G118" s="172" t="e">
        <f>C118</f>
        <v>#REF!</v>
      </c>
      <c r="H118" s="169"/>
      <c r="I118" s="30">
        <v>1.6000000000000001E-3</v>
      </c>
      <c r="J118" s="30">
        <v>1.6000000000000001E-3</v>
      </c>
      <c r="K118" s="30">
        <v>1.6000000000000001E-3</v>
      </c>
      <c r="L118" s="106">
        <f>L96*I118</f>
        <v>6.4000000000000003E-3</v>
      </c>
      <c r="M118" s="80"/>
      <c r="O118" s="80">
        <f>-(O97+O98+O105+O106+O110+O113+O115+O116+O117)*5%</f>
        <v>-2.2077399999999998</v>
      </c>
      <c r="P118" s="107">
        <f>P96*I118</f>
        <v>0.16160000000000002</v>
      </c>
      <c r="R118" s="107">
        <f>R96*K118</f>
        <v>0.16160000000000002</v>
      </c>
      <c r="S118" s="107">
        <f>S96*J118</f>
        <v>7.8992000000000004</v>
      </c>
      <c r="T118" s="107">
        <f>T96*J118</f>
        <v>1.0672000000000001</v>
      </c>
      <c r="U118" s="107">
        <f>U96*J118</f>
        <v>1.6064000000000001</v>
      </c>
      <c r="W118" s="104">
        <f>W96*K118</f>
        <v>23.52</v>
      </c>
      <c r="X118" s="104">
        <f>X96*K118</f>
        <v>28</v>
      </c>
      <c r="Y118" s="104">
        <f>Y96*K118</f>
        <v>356.16</v>
      </c>
    </row>
    <row r="119" spans="1:25" ht="13.5" hidden="1" thickBot="1" x14ac:dyDescent="0.25">
      <c r="A119" s="163" t="s">
        <v>174</v>
      </c>
      <c r="B119" s="69"/>
      <c r="C119" s="167"/>
      <c r="D119" s="167"/>
      <c r="E119" s="167"/>
      <c r="F119" s="167"/>
      <c r="G119" s="167"/>
      <c r="H119" s="169"/>
      <c r="M119" s="80"/>
      <c r="O119" s="80"/>
      <c r="P119" s="80"/>
      <c r="R119" s="80"/>
      <c r="S119" s="80"/>
      <c r="T119" s="80"/>
      <c r="U119" s="80"/>
      <c r="W119" s="97"/>
      <c r="X119" s="97"/>
      <c r="Y119" s="97"/>
    </row>
    <row r="120" spans="1:25" ht="13.5" hidden="1" thickBot="1" x14ac:dyDescent="0.25">
      <c r="A120" s="166" t="s">
        <v>175</v>
      </c>
      <c r="B120" s="69" t="s">
        <v>135</v>
      </c>
      <c r="C120" s="167">
        <v>0.1938</v>
      </c>
      <c r="D120" s="167"/>
      <c r="E120" s="167">
        <v>0.1938</v>
      </c>
      <c r="F120" s="167"/>
      <c r="G120" s="167">
        <v>0.1938</v>
      </c>
      <c r="H120" s="67" t="s">
        <v>198</v>
      </c>
      <c r="I120" s="30">
        <v>0.1938</v>
      </c>
      <c r="J120" s="30">
        <v>0.1938</v>
      </c>
      <c r="K120" s="30">
        <v>0.1938</v>
      </c>
      <c r="L120" s="80">
        <f>L96*I120</f>
        <v>0.7752</v>
      </c>
      <c r="M120" s="80">
        <f>M96*I120</f>
        <v>3.4883999999999999</v>
      </c>
      <c r="O120" s="80">
        <f>O96*I120</f>
        <v>0.7752</v>
      </c>
      <c r="P120" s="80">
        <f>P96*I120</f>
        <v>19.573799999999999</v>
      </c>
      <c r="R120" s="80">
        <f>R96*J120</f>
        <v>19.573799999999999</v>
      </c>
      <c r="S120" s="80">
        <f>S96*J120</f>
        <v>956.79060000000004</v>
      </c>
      <c r="T120" s="80">
        <f>T96*J120</f>
        <v>129.2646</v>
      </c>
      <c r="U120" s="80">
        <f>U96*J120</f>
        <v>194.5752</v>
      </c>
      <c r="W120" s="97">
        <f>W96*K120</f>
        <v>2848.86</v>
      </c>
      <c r="X120" s="97">
        <f>X96*K120</f>
        <v>3391.5</v>
      </c>
      <c r="Y120" s="97">
        <f>Y96*K120</f>
        <v>43139.88</v>
      </c>
    </row>
    <row r="121" spans="1:25" ht="13.5" hidden="1" thickBot="1" x14ac:dyDescent="0.25">
      <c r="A121" s="166" t="s">
        <v>176</v>
      </c>
      <c r="B121" s="69" t="s">
        <v>135</v>
      </c>
      <c r="C121" s="167">
        <v>2.5000000000000001E-3</v>
      </c>
      <c r="D121" s="167"/>
      <c r="E121" s="167">
        <v>2.5000000000000001E-3</v>
      </c>
      <c r="F121" s="167"/>
      <c r="G121" s="172">
        <f>C121</f>
        <v>2.5000000000000001E-3</v>
      </c>
      <c r="H121" s="169"/>
      <c r="I121" s="30">
        <v>2.5000000000000001E-3</v>
      </c>
      <c r="J121" s="30">
        <v>2.5000000000000001E-3</v>
      </c>
      <c r="K121" s="30">
        <v>2.5000000000000001E-3</v>
      </c>
      <c r="L121" s="80">
        <f>L96*I121</f>
        <v>0.01</v>
      </c>
      <c r="M121" s="80">
        <f>M96*I121</f>
        <v>4.4999999999999998E-2</v>
      </c>
      <c r="O121" s="80">
        <f>O96*I121</f>
        <v>0.01</v>
      </c>
      <c r="P121" s="80">
        <f>P96*I121</f>
        <v>0.2525</v>
      </c>
      <c r="R121" s="80">
        <f>R96*J121</f>
        <v>0.2525</v>
      </c>
      <c r="S121" s="80">
        <f>S96*J121</f>
        <v>12.342500000000001</v>
      </c>
      <c r="T121" s="80">
        <f>T96*J121</f>
        <v>1.6675</v>
      </c>
      <c r="U121" s="80">
        <f>U96*J121</f>
        <v>2.5100000000000002</v>
      </c>
      <c r="W121" s="97">
        <f>W96*K121</f>
        <v>36.75</v>
      </c>
      <c r="X121" s="97">
        <f>X96*K121</f>
        <v>43.75</v>
      </c>
      <c r="Y121" s="97">
        <f>Y96*K121</f>
        <v>556.5</v>
      </c>
    </row>
    <row r="122" spans="1:25" ht="13.5" hidden="1" thickBot="1" x14ac:dyDescent="0.25">
      <c r="A122" s="166"/>
      <c r="B122" s="69"/>
      <c r="C122" s="167"/>
      <c r="D122" s="167"/>
      <c r="E122" s="167"/>
      <c r="F122" s="167"/>
      <c r="G122" s="172"/>
      <c r="H122" s="169"/>
      <c r="I122" s="30">
        <v>0</v>
      </c>
      <c r="M122" s="80"/>
      <c r="O122" s="80"/>
      <c r="P122" s="80">
        <f>P96*I122</f>
        <v>0</v>
      </c>
      <c r="R122" s="80"/>
      <c r="S122" s="80"/>
      <c r="T122" s="80"/>
      <c r="U122" s="80"/>
      <c r="W122" s="97"/>
      <c r="X122" s="97"/>
      <c r="Y122" s="97"/>
    </row>
    <row r="123" spans="1:25" ht="13.5" hidden="1" thickBot="1" x14ac:dyDescent="0.25">
      <c r="A123" s="173" t="s">
        <v>177</v>
      </c>
      <c r="B123" s="174" t="s">
        <v>135</v>
      </c>
      <c r="C123" s="175">
        <v>0.40039999999999998</v>
      </c>
      <c r="D123" s="175"/>
      <c r="E123" s="175">
        <v>0.40039999999999998</v>
      </c>
      <c r="F123" s="175"/>
      <c r="G123" s="172">
        <f>C123</f>
        <v>0.40039999999999998</v>
      </c>
      <c r="H123" s="169"/>
      <c r="I123" s="30">
        <v>0.40039999999999998</v>
      </c>
      <c r="J123" s="30">
        <v>0.40039999999999998</v>
      </c>
      <c r="K123" s="30">
        <v>0.40039999999999998</v>
      </c>
      <c r="L123" s="80">
        <f>L96*I123</f>
        <v>1.6015999999999999</v>
      </c>
      <c r="M123" s="80">
        <f>M96*I123</f>
        <v>7.2071999999999994</v>
      </c>
      <c r="O123" s="80">
        <f>O96*I123</f>
        <v>1.6015999999999999</v>
      </c>
      <c r="P123" s="80">
        <f>P96*I123</f>
        <v>40.440399999999997</v>
      </c>
      <c r="R123" s="80">
        <f>R96*J123</f>
        <v>40.440399999999997</v>
      </c>
      <c r="S123" s="80">
        <f>S96*J123</f>
        <v>1976.7747999999999</v>
      </c>
      <c r="T123" s="80">
        <f>T96*J123</f>
        <v>267.0668</v>
      </c>
      <c r="U123" s="80">
        <f>U96*J123</f>
        <v>402.0016</v>
      </c>
      <c r="W123" s="97">
        <f>W96*K123</f>
        <v>5885.88</v>
      </c>
      <c r="X123" s="97">
        <f>X96*K123</f>
        <v>7007</v>
      </c>
      <c r="Y123" s="97">
        <f>Y96*K123</f>
        <v>89129.04</v>
      </c>
    </row>
    <row r="124" spans="1:25" ht="13.5" hidden="1" thickBot="1" x14ac:dyDescent="0.25">
      <c r="A124" s="176" t="s">
        <v>178</v>
      </c>
      <c r="B124" s="177"/>
      <c r="C124" s="178">
        <f>5.8308-0.1944+0.8997+0.8682+0.8449+0.7732+0.4569+0.115+0.0016+0.1938+0.0025+0.4004</f>
        <v>10.192599999999997</v>
      </c>
      <c r="D124" s="179"/>
      <c r="E124" s="178" t="e">
        <f>E101+E102+E105+E106+E110+E113+E116+E117+E118+E120+E121+E123</f>
        <v>#REF!</v>
      </c>
      <c r="F124" s="179"/>
      <c r="G124" s="178" t="e">
        <f>G101+G102+G105+G106+G110+G113+G116+G117+G118+G120+G121+G123</f>
        <v>#REF!</v>
      </c>
      <c r="H124" s="178"/>
      <c r="I124" s="178">
        <v>10.192600000000001</v>
      </c>
      <c r="J124" s="178">
        <v>9.1478000000000002</v>
      </c>
      <c r="K124" s="178">
        <v>6.5439999999999996</v>
      </c>
      <c r="L124" s="115">
        <f>SUM(L97:L123)</f>
        <v>43.125659999999982</v>
      </c>
      <c r="M124" s="116">
        <f>SUM(M97:M123)</f>
        <v>168.45534000000001</v>
      </c>
      <c r="O124" s="117">
        <f>SUM(O97:O123)</f>
        <v>43.55625999999998</v>
      </c>
      <c r="P124" s="117">
        <f>SUM(P97:P123)</f>
        <v>1034.4525999999998</v>
      </c>
      <c r="R124" s="117">
        <f>SUM(R97:R123)</f>
        <v>992.80789999999979</v>
      </c>
      <c r="S124" s="117">
        <f>SUM(S97:S123)</f>
        <v>45232.052299999988</v>
      </c>
      <c r="T124" s="117">
        <f>SUM(T97:T123)</f>
        <v>6170.519299999999</v>
      </c>
      <c r="U124" s="117">
        <f>SUM(U97:U123)</f>
        <v>9253.3615999999984</v>
      </c>
      <c r="W124" s="118">
        <f>SUM(W97:W123)</f>
        <v>164632.59799999997</v>
      </c>
      <c r="X124" s="118">
        <f>SUM(X97:X123)</f>
        <v>220557.07989999995</v>
      </c>
      <c r="Y124" s="118">
        <f>SUM(Y97:Y123)</f>
        <v>1836213.8218999996</v>
      </c>
    </row>
    <row r="125" spans="1:25" ht="13.5" hidden="1" thickBot="1" x14ac:dyDescent="0.25">
      <c r="A125" s="176" t="s">
        <v>179</v>
      </c>
      <c r="B125" s="177" t="s">
        <v>166</v>
      </c>
      <c r="C125" s="180">
        <f>C115</f>
        <v>5</v>
      </c>
      <c r="D125" s="180"/>
      <c r="E125" s="180">
        <f>E112+E115</f>
        <v>68.87</v>
      </c>
      <c r="F125" s="180"/>
      <c r="G125" s="180">
        <f>G112+G115</f>
        <v>68.87</v>
      </c>
      <c r="H125" s="178"/>
      <c r="I125" s="120">
        <f>I97+I98+I99+I100+I105+I106+I110+I113+I116+I117</f>
        <v>9.7886999999999986</v>
      </c>
      <c r="J125" s="64" t="e">
        <f>E124-J124</f>
        <v>#REF!</v>
      </c>
      <c r="K125" s="64" t="e">
        <f>G124-K124</f>
        <v>#REF!</v>
      </c>
      <c r="M125" s="30" t="s">
        <v>180</v>
      </c>
      <c r="O125" s="121">
        <f>O96*I127</f>
        <v>0.58079999999999998</v>
      </c>
      <c r="P125" s="121">
        <f>P96*I127</f>
        <v>14.665199999999999</v>
      </c>
      <c r="R125" s="121">
        <f>R96*J127</f>
        <v>23.240099999999998</v>
      </c>
      <c r="S125" s="121">
        <f>S96*K127</f>
        <v>1136.0037</v>
      </c>
      <c r="T125" s="121">
        <f>T96*J127</f>
        <v>153.47669999999999</v>
      </c>
      <c r="U125" s="121">
        <f>U96*J127</f>
        <v>231.0204</v>
      </c>
      <c r="W125" s="122">
        <f>W96*K127</f>
        <v>3382.47</v>
      </c>
      <c r="X125" s="122">
        <f>X96*K127</f>
        <v>4026.75</v>
      </c>
      <c r="Y125" s="122">
        <f>Y96*K127</f>
        <v>51220.26</v>
      </c>
    </row>
    <row r="126" spans="1:25" ht="14.25" hidden="1" thickTop="1" thickBot="1" x14ac:dyDescent="0.25">
      <c r="A126" s="176" t="s">
        <v>181</v>
      </c>
      <c r="B126" s="181" t="s">
        <v>158</v>
      </c>
      <c r="C126" s="178"/>
      <c r="D126" s="178"/>
      <c r="E126" s="178"/>
      <c r="F126" s="178"/>
      <c r="G126" s="178" t="e">
        <f>G104+G109</f>
        <v>#REF!</v>
      </c>
      <c r="H126" s="178"/>
      <c r="I126" s="30" t="s">
        <v>182</v>
      </c>
      <c r="J126" s="30" t="s">
        <v>182</v>
      </c>
      <c r="K126" s="30" t="s">
        <v>182</v>
      </c>
      <c r="M126" s="30" t="s">
        <v>183</v>
      </c>
      <c r="O126" s="121">
        <f>O96*I128</f>
        <v>1.0800000000000001E-2</v>
      </c>
      <c r="P126" s="121">
        <f>P96*I128</f>
        <v>0.2727</v>
      </c>
      <c r="R126" s="121">
        <f>R96*J128</f>
        <v>0.22220000000000001</v>
      </c>
      <c r="S126" s="121">
        <f>S96*K128</f>
        <v>10.861400000000001</v>
      </c>
      <c r="T126" s="121">
        <f>T96*J128</f>
        <v>1.4674</v>
      </c>
      <c r="U126" s="121">
        <f>U96*J128</f>
        <v>2.2088000000000001</v>
      </c>
      <c r="W126" s="122">
        <f>W96*K128</f>
        <v>32.340000000000003</v>
      </c>
      <c r="X126" s="122">
        <f>X96*K128</f>
        <v>38.5</v>
      </c>
      <c r="Y126" s="122">
        <f>Y96*K128</f>
        <v>489.72</v>
      </c>
    </row>
    <row r="127" spans="1:25" ht="14.25" hidden="1" thickTop="1" thickBot="1" x14ac:dyDescent="0.25">
      <c r="A127" s="69"/>
      <c r="B127" s="69"/>
      <c r="C127" s="69"/>
      <c r="D127" s="980" t="s">
        <v>184</v>
      </c>
      <c r="E127" s="980"/>
      <c r="F127" s="981"/>
      <c r="G127" s="982" t="s">
        <v>185</v>
      </c>
      <c r="H127" s="980"/>
      <c r="I127" s="30">
        <v>0.1452</v>
      </c>
      <c r="J127" s="30">
        <v>0.2301</v>
      </c>
      <c r="K127" s="30">
        <v>0.2301</v>
      </c>
      <c r="M127" s="30" t="s">
        <v>186</v>
      </c>
      <c r="O127" s="121">
        <f>O96*I129</f>
        <v>7.6799999999999993E-2</v>
      </c>
      <c r="P127" s="121">
        <f>P96*I129</f>
        <v>1.9391999999999998</v>
      </c>
      <c r="R127" s="121">
        <f>R96*J129</f>
        <v>3.03</v>
      </c>
      <c r="S127" s="121">
        <f>S96*J129</f>
        <v>148.10999999999999</v>
      </c>
      <c r="T127" s="121">
        <f>T96*J129</f>
        <v>20.009999999999998</v>
      </c>
      <c r="U127" s="121">
        <f>U96*J129</f>
        <v>30.119999999999997</v>
      </c>
      <c r="W127" s="122">
        <v>0</v>
      </c>
      <c r="X127" s="122">
        <v>0</v>
      </c>
      <c r="Y127" s="122">
        <v>0</v>
      </c>
    </row>
    <row r="128" spans="1:25" ht="13.5" hidden="1" thickBot="1" x14ac:dyDescent="0.25">
      <c r="A128" s="69"/>
      <c r="B128" s="69"/>
      <c r="C128" s="69"/>
      <c r="D128" s="182" t="s">
        <v>187</v>
      </c>
      <c r="E128" s="183" t="s">
        <v>188</v>
      </c>
      <c r="F128" s="184" t="s">
        <v>189</v>
      </c>
      <c r="G128" s="983" t="s">
        <v>190</v>
      </c>
      <c r="H128" s="984"/>
      <c r="I128" s="64">
        <v>2.7000000000000001E-3</v>
      </c>
      <c r="J128" s="64">
        <v>2.2000000000000001E-3</v>
      </c>
      <c r="K128" s="64">
        <v>2.2000000000000001E-3</v>
      </c>
      <c r="M128" s="30" t="s">
        <v>191</v>
      </c>
      <c r="O128" s="121">
        <f>(SUM(O102,O110:O117))*12%</f>
        <v>1.5578880000000002</v>
      </c>
      <c r="P128" s="121">
        <f>(SUM(P102,P110:P117))*12%</f>
        <v>24.786671999999999</v>
      </c>
      <c r="R128" s="121">
        <f>(SUM(R102,R110:R117))*12%</f>
        <v>20.880108</v>
      </c>
      <c r="S128" s="121">
        <f>(SUM(S102,S110:S117))*12%</f>
        <v>624.93519599999991</v>
      </c>
      <c r="T128" s="121">
        <f>(SUM(T102,T110:T117))*12%</f>
        <v>91.578035999999997</v>
      </c>
      <c r="U128" s="121">
        <f>(SUM(U102,U110:U117))*12%</f>
        <v>133.67203199999997</v>
      </c>
      <c r="W128" s="122">
        <f>(SUM(W102,W109:W117))*12%</f>
        <v>4711.8444</v>
      </c>
      <c r="X128" s="122">
        <f>(SUM(X102,X109:X117))*12%</f>
        <v>7225.8803999999991</v>
      </c>
      <c r="Y128" s="122">
        <f>(SUM(Y102,Y109:Y117))*12%</f>
        <v>28059.140399999997</v>
      </c>
    </row>
    <row r="129" spans="1:25" ht="13.5" hidden="1" thickBot="1" x14ac:dyDescent="0.25">
      <c r="A129" s="69"/>
      <c r="B129" s="69"/>
      <c r="C129" s="69"/>
      <c r="D129" s="185" t="e">
        <f>#REF!</f>
        <v>#REF!</v>
      </c>
      <c r="E129" s="185" t="e">
        <f>#REF!</f>
        <v>#REF!</v>
      </c>
      <c r="F129" s="185" t="e">
        <f>#REF!</f>
        <v>#REF!</v>
      </c>
      <c r="G129" s="186">
        <v>0.12</v>
      </c>
      <c r="H129" s="187"/>
      <c r="I129" s="64">
        <v>1.9199999999999998E-2</v>
      </c>
      <c r="J129" s="64">
        <v>0.03</v>
      </c>
      <c r="K129" s="64"/>
      <c r="O129" s="116">
        <f>SUM(O124:O128)</f>
        <v>45.782547999999977</v>
      </c>
      <c r="P129" s="116">
        <f>SUM(P124:P128)</f>
        <v>1076.1163719999997</v>
      </c>
      <c r="R129" s="116">
        <f>SUM(R124:R128)</f>
        <v>1040.1803079999997</v>
      </c>
      <c r="S129" s="116">
        <f>SUM(S124:S128)</f>
        <v>47151.96259599999</v>
      </c>
      <c r="T129" s="116">
        <f>SUM(T124:T128)</f>
        <v>6437.0514359999997</v>
      </c>
      <c r="U129" s="116">
        <f>SUM(U124:U128)</f>
        <v>9650.3828319999993</v>
      </c>
      <c r="W129" s="116">
        <f>SUM(W124:W128)</f>
        <v>172759.25239999997</v>
      </c>
      <c r="X129" s="116">
        <f>SUM(X124:X128)</f>
        <v>231848.21029999995</v>
      </c>
      <c r="Y129" s="116">
        <f>SUM(Y124:Y128)</f>
        <v>1915982.9422999995</v>
      </c>
    </row>
    <row r="130" spans="1:25" ht="13.5" hidden="1" thickBot="1" x14ac:dyDescent="0.25">
      <c r="A130" s="67" t="s">
        <v>192</v>
      </c>
      <c r="B130" s="67"/>
      <c r="C130" s="188" t="s">
        <v>193</v>
      </c>
      <c r="D130" s="69"/>
      <c r="E130" s="69"/>
      <c r="F130" s="69"/>
      <c r="G130" s="69"/>
      <c r="H130" s="69"/>
      <c r="P130" s="97">
        <v>-2793.75</v>
      </c>
    </row>
    <row r="131" spans="1:25" ht="13.5" hidden="1" thickBot="1" x14ac:dyDescent="0.25">
      <c r="A131" s="67"/>
      <c r="B131" s="69"/>
      <c r="C131" s="67"/>
      <c r="D131" s="69"/>
      <c r="E131" s="69"/>
      <c r="F131" s="69"/>
      <c r="G131" s="69"/>
      <c r="H131" s="69"/>
      <c r="P131" s="97">
        <f>SUM(P129:P130)</f>
        <v>-1717.6336280000003</v>
      </c>
    </row>
    <row r="132" spans="1:25" ht="13.5" hidden="1" thickBot="1" x14ac:dyDescent="0.25">
      <c r="A132" s="189" t="s">
        <v>194</v>
      </c>
      <c r="B132" s="160"/>
      <c r="C132" s="189" t="s">
        <v>195</v>
      </c>
      <c r="D132" s="69"/>
      <c r="E132" s="69"/>
      <c r="F132" s="69"/>
      <c r="G132" s="69"/>
      <c r="H132" s="69"/>
    </row>
    <row r="133" spans="1:25" ht="13.5" hidden="1" thickBot="1" x14ac:dyDescent="0.25">
      <c r="A133" s="67" t="s">
        <v>196</v>
      </c>
      <c r="B133" s="69"/>
      <c r="C133" s="67" t="s">
        <v>197</v>
      </c>
      <c r="D133" s="69"/>
      <c r="E133" s="69"/>
      <c r="F133" s="69"/>
      <c r="G133" s="69"/>
      <c r="H133" s="69"/>
    </row>
    <row r="134" spans="1:25" ht="13.5" hidden="1" thickBot="1" x14ac:dyDescent="0.25">
      <c r="A134" s="71" t="s">
        <v>64</v>
      </c>
      <c r="B134" s="71"/>
      <c r="C134" s="71"/>
      <c r="D134" s="71"/>
      <c r="E134" s="71"/>
      <c r="F134" s="71"/>
      <c r="G134" s="71"/>
      <c r="H134" s="71"/>
    </row>
    <row r="135" spans="1:25" ht="13.5" hidden="1" thickBot="1" x14ac:dyDescent="0.25">
      <c r="A135" s="71" t="s">
        <v>0</v>
      </c>
      <c r="B135" s="71"/>
      <c r="C135" s="71"/>
      <c r="D135" s="71"/>
      <c r="E135" s="71"/>
      <c r="F135" s="71"/>
      <c r="G135" s="71"/>
      <c r="H135" s="71"/>
    </row>
    <row r="136" spans="1:25" ht="13.5" hidden="1" thickBot="1" x14ac:dyDescent="0.25">
      <c r="A136" s="71"/>
      <c r="B136" s="71"/>
      <c r="C136" s="71"/>
      <c r="D136" s="71"/>
      <c r="E136" s="71"/>
      <c r="F136" s="71"/>
      <c r="G136" s="71"/>
      <c r="H136" s="71"/>
    </row>
    <row r="137" spans="1:25" ht="13.5" hidden="1" thickBot="1" x14ac:dyDescent="0.25">
      <c r="A137" s="190" t="s">
        <v>60</v>
      </c>
      <c r="B137" s="71"/>
      <c r="C137" s="71"/>
      <c r="D137" s="71"/>
      <c r="E137" s="71"/>
      <c r="F137" s="71"/>
      <c r="G137" s="71"/>
      <c r="H137" s="71"/>
      <c r="W137" s="34" t="s">
        <v>143</v>
      </c>
      <c r="X137" s="34" t="s">
        <v>144</v>
      </c>
      <c r="Y137" s="34" t="s">
        <v>1</v>
      </c>
    </row>
    <row r="138" spans="1:25" ht="13.5" hidden="1" thickBot="1" x14ac:dyDescent="0.25">
      <c r="A138" s="191" t="s">
        <v>56</v>
      </c>
      <c r="B138" s="71"/>
      <c r="C138" s="71"/>
      <c r="D138" s="71"/>
      <c r="E138" s="71"/>
      <c r="F138" s="71"/>
      <c r="G138" s="71"/>
      <c r="H138" s="71"/>
      <c r="W138" s="83" t="s">
        <v>145</v>
      </c>
      <c r="X138" s="83" t="s">
        <v>145</v>
      </c>
      <c r="Y138" s="83" t="s">
        <v>145</v>
      </c>
    </row>
    <row r="139" spans="1:25" ht="13.5" hidden="1" thickBot="1" x14ac:dyDescent="0.25">
      <c r="A139" s="191"/>
      <c r="B139" s="71"/>
      <c r="C139" s="71"/>
      <c r="D139" s="71"/>
      <c r="E139" s="71"/>
      <c r="F139" s="71"/>
      <c r="G139" s="71"/>
      <c r="H139" s="71"/>
      <c r="L139" s="192" t="s">
        <v>146</v>
      </c>
      <c r="M139" s="71" t="s">
        <v>6</v>
      </c>
      <c r="N139" s="71"/>
      <c r="O139" s="192" t="s">
        <v>146</v>
      </c>
      <c r="P139" s="71" t="s">
        <v>6</v>
      </c>
      <c r="R139" s="85" t="s">
        <v>147</v>
      </c>
      <c r="S139" s="85" t="s">
        <v>147</v>
      </c>
      <c r="T139" s="85" t="s">
        <v>147</v>
      </c>
      <c r="U139" s="85" t="s">
        <v>147</v>
      </c>
      <c r="W139" s="86">
        <f>0.2*700</f>
        <v>140</v>
      </c>
      <c r="X139" s="86">
        <f>0.31*700</f>
        <v>217</v>
      </c>
      <c r="Y139" s="86">
        <f>0.37*2100</f>
        <v>777</v>
      </c>
    </row>
    <row r="140" spans="1:25" ht="13.5" hidden="1" thickBot="1" x14ac:dyDescent="0.25">
      <c r="A140" s="985"/>
      <c r="B140" s="986"/>
      <c r="C140" s="193" t="s">
        <v>6</v>
      </c>
      <c r="D140" s="987" t="s">
        <v>47</v>
      </c>
      <c r="E140" s="988"/>
      <c r="F140" s="989"/>
      <c r="G140" s="987" t="s">
        <v>13</v>
      </c>
      <c r="H140" s="989"/>
      <c r="I140" s="193" t="s">
        <v>6</v>
      </c>
      <c r="J140" s="193" t="s">
        <v>47</v>
      </c>
      <c r="K140" s="193" t="s">
        <v>13</v>
      </c>
      <c r="L140" s="80" t="s">
        <v>130</v>
      </c>
      <c r="M140" s="88" t="s">
        <v>148</v>
      </c>
      <c r="O140" s="80" t="s">
        <v>130</v>
      </c>
      <c r="P140" s="80" t="s">
        <v>130</v>
      </c>
      <c r="R140" s="80" t="s">
        <v>130</v>
      </c>
      <c r="S140" s="80" t="s">
        <v>130</v>
      </c>
      <c r="T140" s="80" t="s">
        <v>130</v>
      </c>
      <c r="U140" s="80" t="s">
        <v>130</v>
      </c>
      <c r="W140" s="89" t="s">
        <v>130</v>
      </c>
      <c r="X140" s="89" t="s">
        <v>130</v>
      </c>
      <c r="Y140" s="89" t="s">
        <v>130</v>
      </c>
    </row>
    <row r="141" spans="1:25" ht="13.5" hidden="1" thickBot="1" x14ac:dyDescent="0.25">
      <c r="A141" s="194" t="s">
        <v>149</v>
      </c>
      <c r="B141" s="71"/>
      <c r="C141" s="195"/>
      <c r="D141" s="195"/>
      <c r="E141" s="195"/>
      <c r="F141" s="195"/>
      <c r="G141" s="195"/>
      <c r="H141" s="196"/>
      <c r="J141" s="93"/>
      <c r="L141" s="93">
        <v>7</v>
      </c>
      <c r="M141" s="93">
        <v>757</v>
      </c>
      <c r="O141" s="93">
        <v>7</v>
      </c>
      <c r="P141" s="93">
        <v>101</v>
      </c>
      <c r="R141" s="93">
        <v>101</v>
      </c>
      <c r="S141" s="93">
        <v>4937</v>
      </c>
      <c r="T141" s="93">
        <v>667</v>
      </c>
      <c r="U141" s="93">
        <v>1004</v>
      </c>
      <c r="W141" s="94">
        <f>(929-908)*700</f>
        <v>14700</v>
      </c>
      <c r="X141" s="94">
        <f>(1002-977)*700</f>
        <v>17500</v>
      </c>
      <c r="Y141" s="94">
        <f>(2677-2571)*2100</f>
        <v>222600</v>
      </c>
    </row>
    <row r="142" spans="1:25" ht="13.5" hidden="1" thickBot="1" x14ac:dyDescent="0.25">
      <c r="A142" s="197" t="s">
        <v>150</v>
      </c>
      <c r="B142" s="71" t="s">
        <v>135</v>
      </c>
      <c r="C142" s="198" t="e">
        <f>C146-C143-C144-C145</f>
        <v>#REF!</v>
      </c>
      <c r="D142" s="198"/>
      <c r="E142" s="198" t="e">
        <f>E146-E143-E144-E145</f>
        <v>#REF!</v>
      </c>
      <c r="F142" s="198"/>
      <c r="G142" s="198" t="e">
        <f>G146-G143-G144-G145</f>
        <v>#REF!</v>
      </c>
      <c r="H142" s="199"/>
      <c r="I142" s="30">
        <v>4.6055999999999999</v>
      </c>
      <c r="J142" s="30">
        <v>4.6055999999999999</v>
      </c>
      <c r="K142" s="30">
        <v>4.6055999999999999</v>
      </c>
      <c r="L142" s="80">
        <f>L141*(I142+I144+I145)</f>
        <v>36.481200000000001</v>
      </c>
      <c r="M142" s="80">
        <f>M141*(I142+I144+I145)</f>
        <v>3945.1812</v>
      </c>
      <c r="O142" s="80">
        <f>O141*(I142+I144+I145)</f>
        <v>36.481200000000001</v>
      </c>
      <c r="P142" s="80">
        <f>P141*(I142+I144+I145)</f>
        <v>526.37159999999994</v>
      </c>
      <c r="R142" s="80">
        <f>R141*(J142+J144+J145)</f>
        <v>526.37159999999994</v>
      </c>
      <c r="S142" s="80">
        <f>S141*(J142+J144+J145)</f>
        <v>25729.6692</v>
      </c>
      <c r="T142" s="80">
        <f>T141*(J142+J144+J145)</f>
        <v>3476.1371999999997</v>
      </c>
      <c r="U142" s="80">
        <f>U141*(J142+J144+J145)</f>
        <v>5232.4463999999998</v>
      </c>
      <c r="W142" s="97">
        <f>W141*(K142+K144+K145)</f>
        <v>76610.52</v>
      </c>
      <c r="X142" s="97">
        <f>X141*(K142+K144+K145)</f>
        <v>91203</v>
      </c>
      <c r="Y142" s="97">
        <f>Y141*(K142+K144+K145)</f>
        <v>1160102.1599999999</v>
      </c>
    </row>
    <row r="143" spans="1:25" ht="13.5" hidden="1" thickBot="1" x14ac:dyDescent="0.25">
      <c r="A143" s="197" t="s">
        <v>151</v>
      </c>
      <c r="B143" s="71" t="s">
        <v>135</v>
      </c>
      <c r="C143" s="198">
        <v>1.77E-2</v>
      </c>
      <c r="D143" s="198"/>
      <c r="E143" s="198">
        <v>1.77E-2</v>
      </c>
      <c r="F143" s="198"/>
      <c r="G143" s="198">
        <v>1.77E-2</v>
      </c>
      <c r="H143" s="200"/>
      <c r="I143" s="30">
        <v>1.77E-2</v>
      </c>
      <c r="J143" s="30">
        <v>1.77E-2</v>
      </c>
      <c r="K143" s="30">
        <v>1.77E-2</v>
      </c>
      <c r="L143" s="80">
        <f>L141*I143</f>
        <v>0.12390000000000001</v>
      </c>
      <c r="M143" s="80">
        <f>M141*I143</f>
        <v>13.398900000000001</v>
      </c>
      <c r="O143" s="80">
        <f>O141*I143</f>
        <v>0.12390000000000001</v>
      </c>
      <c r="P143" s="80">
        <f>P141*I143</f>
        <v>1.7877000000000001</v>
      </c>
      <c r="R143" s="80">
        <f>R141*J143</f>
        <v>1.7877000000000001</v>
      </c>
      <c r="S143" s="80">
        <f>S141*J143</f>
        <v>87.384900000000002</v>
      </c>
      <c r="T143" s="80">
        <f>T141*J143</f>
        <v>11.805900000000001</v>
      </c>
      <c r="U143" s="80">
        <f>U141*J143</f>
        <v>17.770800000000001</v>
      </c>
      <c r="W143" s="97">
        <f>W141*K143</f>
        <v>260.19</v>
      </c>
      <c r="X143" s="97">
        <f>X141*K143</f>
        <v>309.75</v>
      </c>
      <c r="Y143" s="97">
        <f>Y141*K143</f>
        <v>3940.02</v>
      </c>
    </row>
    <row r="144" spans="1:25" ht="13.5" hidden="1" thickBot="1" x14ac:dyDescent="0.25">
      <c r="A144" s="197" t="s">
        <v>152</v>
      </c>
      <c r="B144" s="71" t="s">
        <v>135</v>
      </c>
      <c r="C144" s="198">
        <v>0.48470000000000002</v>
      </c>
      <c r="D144" s="198"/>
      <c r="E144" s="198">
        <v>0.48470000000000002</v>
      </c>
      <c r="F144" s="198"/>
      <c r="G144" s="198">
        <v>0.48470000000000002</v>
      </c>
      <c r="H144" s="200"/>
      <c r="I144" s="30">
        <v>0.48470000000000002</v>
      </c>
      <c r="J144" s="30">
        <v>0.48470000000000002</v>
      </c>
      <c r="K144" s="30">
        <v>0.48470000000000002</v>
      </c>
      <c r="M144" s="80"/>
      <c r="O144" s="80"/>
      <c r="P144" s="80"/>
      <c r="R144" s="80"/>
      <c r="S144" s="80"/>
      <c r="T144" s="80"/>
      <c r="U144" s="80"/>
      <c r="W144" s="97"/>
      <c r="X144" s="97"/>
      <c r="Y144" s="97"/>
    </row>
    <row r="145" spans="1:25" ht="13.5" hidden="1" thickBot="1" x14ac:dyDescent="0.25">
      <c r="A145" s="197" t="s">
        <v>153</v>
      </c>
      <c r="B145" s="71" t="s">
        <v>135</v>
      </c>
      <c r="C145" s="198">
        <v>0.12130000000000001</v>
      </c>
      <c r="D145" s="198"/>
      <c r="E145" s="198">
        <v>0.12130000000000001</v>
      </c>
      <c r="F145" s="198"/>
      <c r="G145" s="198">
        <v>0.12130000000000001</v>
      </c>
      <c r="H145" s="200"/>
      <c r="I145" s="30">
        <v>0.12130000000000001</v>
      </c>
      <c r="J145" s="30">
        <v>0.12130000000000001</v>
      </c>
      <c r="K145" s="30">
        <v>0.12130000000000001</v>
      </c>
      <c r="M145" s="80"/>
      <c r="O145" s="80"/>
      <c r="P145" s="80"/>
      <c r="R145" s="80"/>
      <c r="S145" s="80"/>
      <c r="T145" s="80"/>
      <c r="U145" s="80"/>
      <c r="W145" s="97"/>
      <c r="X145" s="97"/>
      <c r="Y145" s="97"/>
    </row>
    <row r="146" spans="1:25" ht="13.5" hidden="1" thickBot="1" x14ac:dyDescent="0.25">
      <c r="A146" s="197" t="s">
        <v>154</v>
      </c>
      <c r="B146" s="71"/>
      <c r="C146" s="201" t="e">
        <f>#REF!</f>
        <v>#REF!</v>
      </c>
      <c r="D146" s="201"/>
      <c r="E146" s="201" t="e">
        <f>C146</f>
        <v>#REF!</v>
      </c>
      <c r="F146" s="201"/>
      <c r="G146" s="201" t="e">
        <f>C146</f>
        <v>#REF!</v>
      </c>
      <c r="H146" s="202"/>
      <c r="M146" s="80"/>
      <c r="O146" s="80"/>
      <c r="P146" s="80"/>
      <c r="R146" s="80"/>
      <c r="S146" s="80"/>
      <c r="T146" s="80"/>
      <c r="U146" s="80"/>
      <c r="W146" s="97"/>
      <c r="X146" s="97"/>
      <c r="Y146" s="97"/>
    </row>
    <row r="147" spans="1:25" ht="13.5" hidden="1" thickBot="1" x14ac:dyDescent="0.25">
      <c r="A147" s="194" t="s">
        <v>155</v>
      </c>
      <c r="B147" s="71" t="s">
        <v>135</v>
      </c>
      <c r="C147" s="198" t="e">
        <f>(-427801.07+77451.11)/#REF!</f>
        <v>#REF!</v>
      </c>
      <c r="D147" s="198"/>
      <c r="E147" s="198"/>
      <c r="F147" s="198"/>
      <c r="G147" s="198"/>
      <c r="H147" s="199"/>
      <c r="I147" s="64">
        <v>-0.1603</v>
      </c>
      <c r="J147" s="101"/>
      <c r="K147" s="101"/>
      <c r="L147" s="80">
        <f>L141*I147</f>
        <v>-1.1221000000000001</v>
      </c>
      <c r="M147" s="80">
        <f>M141*I147</f>
        <v>-121.3471</v>
      </c>
      <c r="O147" s="102">
        <f>O141*I147</f>
        <v>-1.1221000000000001</v>
      </c>
      <c r="P147" s="102">
        <f>P141*I147</f>
        <v>-16.190300000000001</v>
      </c>
      <c r="R147" s="102">
        <f>R141*J147</f>
        <v>0</v>
      </c>
      <c r="S147" s="102">
        <f>S141*K147</f>
        <v>0</v>
      </c>
      <c r="T147" s="102">
        <f>T141*J147</f>
        <v>0</v>
      </c>
      <c r="U147" s="102">
        <f>U141*J147</f>
        <v>0</v>
      </c>
      <c r="W147" s="103">
        <f>W141*K147</f>
        <v>0</v>
      </c>
      <c r="X147" s="103">
        <f>X141*K147</f>
        <v>0</v>
      </c>
      <c r="Y147" s="103">
        <f>Y141*K147</f>
        <v>0</v>
      </c>
    </row>
    <row r="148" spans="1:25" ht="13.5" hidden="1" thickBot="1" x14ac:dyDescent="0.25">
      <c r="A148" s="194" t="s">
        <v>156</v>
      </c>
      <c r="B148" s="71"/>
      <c r="C148" s="198"/>
      <c r="D148" s="198"/>
      <c r="E148" s="198"/>
      <c r="F148" s="198"/>
      <c r="G148" s="198"/>
      <c r="H148" s="199"/>
      <c r="M148" s="80"/>
      <c r="O148" s="80"/>
      <c r="P148" s="80"/>
      <c r="R148" s="80"/>
      <c r="S148" s="80"/>
      <c r="T148" s="80"/>
      <c r="U148" s="80"/>
      <c r="W148" s="97"/>
      <c r="X148" s="97"/>
      <c r="Y148" s="97"/>
    </row>
    <row r="149" spans="1:25" ht="13.5" hidden="1" thickBot="1" x14ac:dyDescent="0.25">
      <c r="A149" s="197" t="s">
        <v>157</v>
      </c>
      <c r="B149" s="71" t="s">
        <v>158</v>
      </c>
      <c r="C149" s="198"/>
      <c r="D149" s="198"/>
      <c r="E149" s="198"/>
      <c r="F149" s="198"/>
      <c r="G149" s="198" t="e">
        <f>#REF!</f>
        <v>#REF!</v>
      </c>
      <c r="H149" s="200"/>
      <c r="K149" s="64">
        <v>221.4511</v>
      </c>
      <c r="M149" s="80"/>
      <c r="O149" s="80"/>
      <c r="P149" s="80"/>
      <c r="R149" s="80"/>
      <c r="S149" s="80"/>
      <c r="T149" s="80"/>
      <c r="U149" s="80"/>
      <c r="W149" s="104">
        <f>W139*K149</f>
        <v>31003.153999999999</v>
      </c>
      <c r="X149" s="97">
        <f>X139*K149</f>
        <v>48054.888699999996</v>
      </c>
      <c r="Y149" s="97">
        <f>Y139*K149</f>
        <v>172067.50469999999</v>
      </c>
    </row>
    <row r="150" spans="1:25" ht="13.5" hidden="1" thickBot="1" x14ac:dyDescent="0.25">
      <c r="A150" s="197" t="s">
        <v>159</v>
      </c>
      <c r="B150" s="71" t="s">
        <v>135</v>
      </c>
      <c r="C150" s="198" t="e">
        <f>#REF!</f>
        <v>#REF!</v>
      </c>
      <c r="D150" s="198"/>
      <c r="E150" s="198" t="e">
        <f>#REF!</f>
        <v>#REF!</v>
      </c>
      <c r="F150" s="198"/>
      <c r="G150" s="198"/>
      <c r="H150" s="200"/>
      <c r="I150" s="30">
        <v>0.93100000000000005</v>
      </c>
      <c r="J150" s="64">
        <v>0.86850000000000005</v>
      </c>
      <c r="L150" s="80">
        <f>L141*I150</f>
        <v>6.5170000000000003</v>
      </c>
      <c r="M150" s="80">
        <f>M141*I150</f>
        <v>704.76700000000005</v>
      </c>
      <c r="O150" s="80">
        <f>O141*I150</f>
        <v>6.5170000000000003</v>
      </c>
      <c r="P150" s="80">
        <f>P141*I150</f>
        <v>94.031000000000006</v>
      </c>
      <c r="R150" s="80">
        <f>R141*J150</f>
        <v>87.718500000000006</v>
      </c>
      <c r="S150" s="80">
        <f>S141*J150</f>
        <v>4287.7845000000007</v>
      </c>
      <c r="T150" s="80">
        <f>T141*J150</f>
        <v>579.28950000000009</v>
      </c>
      <c r="U150" s="80">
        <f>U141*J150</f>
        <v>871.97400000000005</v>
      </c>
      <c r="W150" s="97">
        <f>W141*K150</f>
        <v>0</v>
      </c>
      <c r="X150" s="97">
        <f>X141*K150</f>
        <v>0</v>
      </c>
      <c r="Y150" s="97">
        <f>Y141*K150</f>
        <v>0</v>
      </c>
    </row>
    <row r="151" spans="1:25" ht="13.5" hidden="1" thickBot="1" x14ac:dyDescent="0.25">
      <c r="A151" s="194" t="s">
        <v>160</v>
      </c>
      <c r="B151" s="71" t="s">
        <v>135</v>
      </c>
      <c r="C151" s="198" t="e">
        <f>#REF!</f>
        <v>#REF!</v>
      </c>
      <c r="D151" s="198"/>
      <c r="E151" s="198" t="e">
        <f>#REF!</f>
        <v>#REF!</v>
      </c>
      <c r="F151" s="198"/>
      <c r="G151" s="198">
        <v>0</v>
      </c>
      <c r="H151" s="200"/>
      <c r="I151" s="30">
        <v>0.80130000000000001</v>
      </c>
      <c r="J151" s="30">
        <v>0.79320000000000002</v>
      </c>
      <c r="K151" s="30">
        <v>0</v>
      </c>
      <c r="L151" s="80">
        <f>L141*I151</f>
        <v>5.6090999999999998</v>
      </c>
      <c r="M151" s="80">
        <f>M141*I151</f>
        <v>606.58410000000003</v>
      </c>
      <c r="O151" s="80">
        <f>O141*I151</f>
        <v>5.6090999999999998</v>
      </c>
      <c r="P151" s="80">
        <f>P141*I151</f>
        <v>80.931300000000007</v>
      </c>
      <c r="R151" s="80">
        <f>R141*J151</f>
        <v>80.113200000000006</v>
      </c>
      <c r="S151" s="80">
        <f>S141*J151</f>
        <v>3916.0284000000001</v>
      </c>
      <c r="T151" s="80">
        <f>T141*J151</f>
        <v>529.06439999999998</v>
      </c>
      <c r="U151" s="80">
        <f>U141*J151</f>
        <v>796.37279999999998</v>
      </c>
      <c r="W151" s="97">
        <f>W141*K151</f>
        <v>0</v>
      </c>
      <c r="X151" s="97">
        <f>X141*K151</f>
        <v>0</v>
      </c>
      <c r="Y151" s="97">
        <f>Y141*K151</f>
        <v>0</v>
      </c>
    </row>
    <row r="152" spans="1:25" ht="13.5" hidden="1" thickBot="1" x14ac:dyDescent="0.25">
      <c r="A152" s="197"/>
      <c r="B152" s="71"/>
      <c r="C152" s="198"/>
      <c r="D152" s="198"/>
      <c r="E152" s="198"/>
      <c r="F152" s="198"/>
      <c r="G152" s="198"/>
      <c r="H152" s="200"/>
      <c r="M152" s="80"/>
      <c r="O152" s="80"/>
      <c r="P152" s="80"/>
      <c r="R152" s="80"/>
      <c r="S152" s="80"/>
      <c r="T152" s="80"/>
      <c r="U152" s="80"/>
      <c r="W152" s="97"/>
      <c r="X152" s="97"/>
      <c r="Y152" s="97"/>
    </row>
    <row r="153" spans="1:25" ht="13.5" hidden="1" thickBot="1" x14ac:dyDescent="0.25">
      <c r="A153" s="194" t="s">
        <v>161</v>
      </c>
      <c r="B153" s="71"/>
      <c r="C153" s="198"/>
      <c r="D153" s="198"/>
      <c r="E153" s="198"/>
      <c r="F153" s="198"/>
      <c r="G153" s="198"/>
      <c r="H153" s="200"/>
      <c r="M153" s="80"/>
      <c r="O153" s="80"/>
      <c r="P153" s="80"/>
      <c r="R153" s="80"/>
      <c r="S153" s="80"/>
      <c r="T153" s="80"/>
      <c r="U153" s="80"/>
      <c r="W153" s="97"/>
      <c r="X153" s="97"/>
      <c r="Y153" s="97"/>
    </row>
    <row r="154" spans="1:25" ht="13.5" hidden="1" thickBot="1" x14ac:dyDescent="0.25">
      <c r="A154" s="197" t="s">
        <v>162</v>
      </c>
      <c r="B154" s="71" t="s">
        <v>158</v>
      </c>
      <c r="C154" s="198"/>
      <c r="D154" s="198"/>
      <c r="E154" s="198"/>
      <c r="F154" s="198"/>
      <c r="G154" s="198">
        <v>267.89999999999998</v>
      </c>
      <c r="H154" s="200"/>
      <c r="K154" s="30">
        <v>267.89999999999998</v>
      </c>
      <c r="M154" s="80"/>
      <c r="O154" s="80"/>
      <c r="P154" s="80"/>
      <c r="R154" s="80"/>
      <c r="S154" s="80"/>
      <c r="T154" s="80"/>
      <c r="U154" s="80"/>
      <c r="W154" s="104">
        <f>W139*K154</f>
        <v>37506</v>
      </c>
      <c r="X154" s="104">
        <f>X139*K154</f>
        <v>58134.299999999996</v>
      </c>
      <c r="Y154" s="104">
        <f>Y139*K154</f>
        <v>208158.3</v>
      </c>
    </row>
    <row r="155" spans="1:25" ht="13.5" hidden="1" thickBot="1" x14ac:dyDescent="0.25">
      <c r="A155" s="197" t="s">
        <v>163</v>
      </c>
      <c r="B155" s="71" t="s">
        <v>135</v>
      </c>
      <c r="C155" s="198">
        <v>0.84489999999999998</v>
      </c>
      <c r="D155" s="203"/>
      <c r="E155" s="203">
        <v>0.92589999999999995</v>
      </c>
      <c r="F155" s="198"/>
      <c r="G155" s="198"/>
      <c r="H155" s="200"/>
      <c r="I155" s="30">
        <v>0.84489999999999998</v>
      </c>
      <c r="J155" s="30">
        <v>0.92589999999999995</v>
      </c>
      <c r="L155" s="80">
        <f>L141*I155</f>
        <v>5.9142999999999999</v>
      </c>
      <c r="M155" s="80">
        <f>M141*I155</f>
        <v>639.58929999999998</v>
      </c>
      <c r="O155" s="102">
        <f>O141*I155</f>
        <v>5.9142999999999999</v>
      </c>
      <c r="P155" s="102">
        <f>P141*I155</f>
        <v>85.334900000000005</v>
      </c>
      <c r="R155" s="102">
        <f>R141*J155</f>
        <v>93.515899999999988</v>
      </c>
      <c r="S155" s="102">
        <f>S141*J155</f>
        <v>4571.1682999999994</v>
      </c>
      <c r="T155" s="102">
        <f>T141*J155</f>
        <v>617.57529999999997</v>
      </c>
      <c r="U155" s="102">
        <f>U141*J155</f>
        <v>929.60359999999991</v>
      </c>
      <c r="W155" s="103">
        <f>W141*K155</f>
        <v>0</v>
      </c>
      <c r="X155" s="103">
        <f>X141*K155</f>
        <v>0</v>
      </c>
      <c r="Y155" s="103">
        <f>Y141*K155</f>
        <v>0</v>
      </c>
    </row>
    <row r="156" spans="1:25" ht="13.5" hidden="1" thickBot="1" x14ac:dyDescent="0.25">
      <c r="A156" s="194" t="s">
        <v>164</v>
      </c>
      <c r="B156" s="71"/>
      <c r="C156" s="198"/>
      <c r="D156" s="203"/>
      <c r="E156" s="198"/>
      <c r="F156" s="198"/>
      <c r="G156" s="198"/>
      <c r="H156" s="200"/>
      <c r="M156" s="80"/>
      <c r="O156" s="102"/>
      <c r="P156" s="102"/>
      <c r="R156" s="102"/>
      <c r="S156" s="102"/>
      <c r="T156" s="102"/>
      <c r="U156" s="102"/>
      <c r="W156" s="103"/>
      <c r="X156" s="103"/>
      <c r="Y156" s="103"/>
    </row>
    <row r="157" spans="1:25" ht="13.5" hidden="1" thickBot="1" x14ac:dyDescent="0.25">
      <c r="A157" s="197" t="s">
        <v>165</v>
      </c>
      <c r="B157" s="71" t="s">
        <v>166</v>
      </c>
      <c r="C157" s="198"/>
      <c r="D157" s="203"/>
      <c r="E157" s="203">
        <v>40.15</v>
      </c>
      <c r="F157" s="198"/>
      <c r="G157" s="203">
        <v>40.15</v>
      </c>
      <c r="H157" s="200"/>
      <c r="J157" s="30">
        <v>40.15</v>
      </c>
      <c r="K157" s="30">
        <v>40.15</v>
      </c>
      <c r="M157" s="80"/>
      <c r="O157" s="102"/>
      <c r="P157" s="102"/>
      <c r="R157" s="103">
        <f>G157</f>
        <v>40.15</v>
      </c>
      <c r="S157" s="103">
        <f>G157</f>
        <v>40.15</v>
      </c>
      <c r="T157" s="103">
        <f>S157</f>
        <v>40.15</v>
      </c>
      <c r="U157" s="103">
        <f>S157</f>
        <v>40.15</v>
      </c>
      <c r="W157" s="103">
        <f>G157</f>
        <v>40.15</v>
      </c>
      <c r="X157" s="103">
        <f>W157</f>
        <v>40.15</v>
      </c>
      <c r="Y157" s="103">
        <f>W157</f>
        <v>40.15</v>
      </c>
    </row>
    <row r="158" spans="1:25" ht="13.5" hidden="1" thickBot="1" x14ac:dyDescent="0.25">
      <c r="A158" s="197" t="s">
        <v>167</v>
      </c>
      <c r="B158" s="71" t="s">
        <v>135</v>
      </c>
      <c r="C158" s="198">
        <v>0.7732</v>
      </c>
      <c r="D158" s="203"/>
      <c r="E158" s="198"/>
      <c r="F158" s="198"/>
      <c r="G158" s="198"/>
      <c r="H158" s="200"/>
      <c r="I158" s="30">
        <v>0.7732</v>
      </c>
      <c r="L158" s="80">
        <f>L141*I158</f>
        <v>5.4123999999999999</v>
      </c>
      <c r="M158" s="80">
        <f>M141*I158</f>
        <v>585.31240000000003</v>
      </c>
      <c r="O158" s="102">
        <f>O141*I158</f>
        <v>5.4123999999999999</v>
      </c>
      <c r="P158" s="102">
        <f>P141*I158</f>
        <v>78.093199999999996</v>
      </c>
      <c r="R158" s="102">
        <f>R141*J158</f>
        <v>0</v>
      </c>
      <c r="S158" s="102">
        <f>S141*K158</f>
        <v>0</v>
      </c>
      <c r="T158" s="102">
        <f>T141*J158</f>
        <v>0</v>
      </c>
      <c r="U158" s="102">
        <f>U141*J158</f>
        <v>0</v>
      </c>
      <c r="W158" s="103">
        <f>W141*K158</f>
        <v>0</v>
      </c>
      <c r="X158" s="103">
        <f>X141*K158</f>
        <v>0</v>
      </c>
      <c r="Y158" s="103">
        <f>Y141*K158</f>
        <v>0</v>
      </c>
    </row>
    <row r="159" spans="1:25" ht="13.5" hidden="1" thickBot="1" x14ac:dyDescent="0.25">
      <c r="A159" s="194" t="s">
        <v>168</v>
      </c>
      <c r="B159" s="71"/>
      <c r="C159" s="71"/>
      <c r="D159" s="203"/>
      <c r="E159" s="71"/>
      <c r="F159" s="71"/>
      <c r="G159" s="71"/>
      <c r="H159" s="200"/>
      <c r="M159" s="80"/>
      <c r="O159" s="102"/>
      <c r="P159" s="102"/>
      <c r="R159" s="102"/>
      <c r="S159" s="102"/>
      <c r="T159" s="102"/>
      <c r="U159" s="102"/>
      <c r="W159" s="103"/>
      <c r="X159" s="103"/>
      <c r="Y159" s="103"/>
    </row>
    <row r="160" spans="1:25" ht="13.5" hidden="1" thickBot="1" x14ac:dyDescent="0.25">
      <c r="A160" s="197" t="s">
        <v>169</v>
      </c>
      <c r="B160" s="71" t="s">
        <v>170</v>
      </c>
      <c r="C160" s="198">
        <v>5</v>
      </c>
      <c r="D160" s="203"/>
      <c r="E160" s="203">
        <v>28.72</v>
      </c>
      <c r="F160" s="71"/>
      <c r="G160" s="203">
        <v>28.72</v>
      </c>
      <c r="H160" s="200"/>
      <c r="I160" s="30">
        <v>5</v>
      </c>
      <c r="J160" s="30">
        <v>28.72</v>
      </c>
      <c r="K160" s="30">
        <v>28.72</v>
      </c>
      <c r="L160" s="80">
        <v>5</v>
      </c>
      <c r="M160" s="80">
        <v>5</v>
      </c>
      <c r="O160" s="102">
        <v>5</v>
      </c>
      <c r="P160" s="102">
        <v>5</v>
      </c>
      <c r="R160" s="103">
        <f>G160</f>
        <v>28.72</v>
      </c>
      <c r="S160" s="103">
        <f>G160</f>
        <v>28.72</v>
      </c>
      <c r="T160" s="103">
        <f>S160</f>
        <v>28.72</v>
      </c>
      <c r="U160" s="103">
        <f>S160</f>
        <v>28.72</v>
      </c>
      <c r="W160" s="103">
        <f>G160</f>
        <v>28.72</v>
      </c>
      <c r="X160" s="103">
        <f>W160</f>
        <v>28.72</v>
      </c>
      <c r="Y160" s="103">
        <f>W160</f>
        <v>28.72</v>
      </c>
    </row>
    <row r="161" spans="1:25" ht="13.5" hidden="1" thickBot="1" x14ac:dyDescent="0.25">
      <c r="A161" s="197" t="s">
        <v>171</v>
      </c>
      <c r="B161" s="71" t="s">
        <v>135</v>
      </c>
      <c r="C161" s="198">
        <v>0.45689999999999997</v>
      </c>
      <c r="D161" s="198"/>
      <c r="E161" s="198"/>
      <c r="F161" s="198"/>
      <c r="G161" s="198"/>
      <c r="H161" s="200"/>
      <c r="I161" s="30">
        <v>0.45689999999999997</v>
      </c>
      <c r="L161" s="80">
        <f>L141*I161</f>
        <v>3.1982999999999997</v>
      </c>
      <c r="M161" s="80">
        <f>M141*I161</f>
        <v>345.87329999999997</v>
      </c>
      <c r="O161" s="102">
        <f>O141*I161</f>
        <v>3.1982999999999997</v>
      </c>
      <c r="P161" s="102">
        <f>P141*I161</f>
        <v>46.146899999999995</v>
      </c>
      <c r="R161" s="102"/>
      <c r="S161" s="102"/>
      <c r="T161" s="102"/>
      <c r="U161" s="102"/>
      <c r="W161" s="103"/>
      <c r="X161" s="103"/>
      <c r="Y161" s="103"/>
    </row>
    <row r="162" spans="1:25" ht="13.5" hidden="1" thickBot="1" x14ac:dyDescent="0.25">
      <c r="A162" s="194" t="s">
        <v>172</v>
      </c>
      <c r="B162" s="71" t="s">
        <v>135</v>
      </c>
      <c r="C162" s="198" t="e">
        <f>#REF!</f>
        <v>#REF!</v>
      </c>
      <c r="D162" s="203"/>
      <c r="E162" s="203" t="e">
        <f>C162</f>
        <v>#REF!</v>
      </c>
      <c r="F162" s="203"/>
      <c r="G162" s="203" t="e">
        <f>C162</f>
        <v>#REF!</v>
      </c>
      <c r="H162" s="200"/>
      <c r="I162" s="64">
        <v>0.128</v>
      </c>
      <c r="J162" s="64">
        <v>0.128</v>
      </c>
      <c r="K162" s="64">
        <v>0.128</v>
      </c>
      <c r="L162" s="80">
        <f>-(L142+L143+L150+L151+L155+L158+L160+L161)*25%</f>
        <v>-17.064049999999998</v>
      </c>
      <c r="M162" s="80">
        <f>-(M142+M143+M150+M151+M155+M158+M160+M161)*10%</f>
        <v>-684.57061999999996</v>
      </c>
      <c r="O162" s="80">
        <f>-(O142+O143+O150+O151+O155+O158+O160+O161)*25%</f>
        <v>-17.064049999999998</v>
      </c>
      <c r="P162" s="102">
        <f>P141*I162</f>
        <v>12.928000000000001</v>
      </c>
      <c r="R162" s="102">
        <f>R141*J162</f>
        <v>12.928000000000001</v>
      </c>
      <c r="S162" s="102">
        <f>S141*J162</f>
        <v>631.93600000000004</v>
      </c>
      <c r="T162" s="102">
        <f>T141*J162</f>
        <v>85.376000000000005</v>
      </c>
      <c r="U162" s="102">
        <f>U141*J162</f>
        <v>128.512</v>
      </c>
      <c r="W162" s="103">
        <f>W141*K162</f>
        <v>1881.6000000000001</v>
      </c>
      <c r="X162" s="103">
        <f>X141*K162</f>
        <v>2240</v>
      </c>
      <c r="Y162" s="103">
        <f>Y141*K162</f>
        <v>28492.799999999999</v>
      </c>
    </row>
    <row r="163" spans="1:25" ht="13.5" hidden="1" thickBot="1" x14ac:dyDescent="0.25">
      <c r="A163" s="194" t="s">
        <v>173</v>
      </c>
      <c r="B163" s="71"/>
      <c r="C163" s="198" t="e">
        <f>#REF!</f>
        <v>#REF!</v>
      </c>
      <c r="D163" s="203"/>
      <c r="E163" s="203" t="e">
        <f>C163</f>
        <v>#REF!</v>
      </c>
      <c r="F163" s="203"/>
      <c r="G163" s="203" t="e">
        <f>C163</f>
        <v>#REF!</v>
      </c>
      <c r="H163" s="200"/>
      <c r="I163" s="30">
        <v>1.8E-3</v>
      </c>
      <c r="J163" s="30">
        <v>1.8E-3</v>
      </c>
      <c r="K163" s="30">
        <v>1.8E-3</v>
      </c>
      <c r="L163" s="80">
        <f>-(L142+L143+L150+L151+L155+L158+L160+L161+L162)*5%</f>
        <v>-2.5596075000000003</v>
      </c>
      <c r="M163" s="80"/>
      <c r="O163" s="80">
        <f>-(O142+O143+O150+O151+O155+O158+O160+O161+O162)*5%</f>
        <v>-2.5596075000000003</v>
      </c>
      <c r="P163" s="107">
        <f>P141*I163</f>
        <v>0.18179999999999999</v>
      </c>
      <c r="R163" s="107">
        <f>R141*K163</f>
        <v>0.18179999999999999</v>
      </c>
      <c r="S163" s="107">
        <f>S141*J163</f>
        <v>8.8865999999999996</v>
      </c>
      <c r="T163" s="107">
        <f>T141*J163</f>
        <v>1.2005999999999999</v>
      </c>
      <c r="U163" s="107">
        <f>U141*J163</f>
        <v>1.8071999999999999</v>
      </c>
      <c r="W163" s="104">
        <f>W141*K163</f>
        <v>26.46</v>
      </c>
      <c r="X163" s="104">
        <f>X141*K163</f>
        <v>31.5</v>
      </c>
      <c r="Y163" s="104">
        <f>Y141*K163</f>
        <v>400.68</v>
      </c>
    </row>
    <row r="164" spans="1:25" ht="13.5" hidden="1" thickBot="1" x14ac:dyDescent="0.25">
      <c r="A164" s="194" t="s">
        <v>174</v>
      </c>
      <c r="B164" s="71"/>
      <c r="C164" s="198"/>
      <c r="D164" s="198"/>
      <c r="E164" s="198"/>
      <c r="F164" s="198"/>
      <c r="G164" s="198"/>
      <c r="H164" s="200"/>
      <c r="M164" s="80"/>
      <c r="O164" s="80"/>
      <c r="P164" s="80"/>
      <c r="R164" s="80"/>
      <c r="S164" s="80"/>
      <c r="T164" s="80"/>
      <c r="U164" s="80"/>
      <c r="W164" s="97"/>
      <c r="X164" s="97"/>
      <c r="Y164" s="97"/>
    </row>
    <row r="165" spans="1:25" ht="13.5" hidden="1" thickBot="1" x14ac:dyDescent="0.25">
      <c r="A165" s="197" t="s">
        <v>175</v>
      </c>
      <c r="B165" s="71" t="s">
        <v>135</v>
      </c>
      <c r="C165" s="198">
        <f>0.1163-(0.1938-0.1163)</f>
        <v>3.8800000000000001E-2</v>
      </c>
      <c r="D165" s="198"/>
      <c r="E165" s="198">
        <f>C165</f>
        <v>3.8800000000000001E-2</v>
      </c>
      <c r="F165" s="198"/>
      <c r="G165" s="416">
        <f>C165</f>
        <v>3.8800000000000001E-2</v>
      </c>
      <c r="H165" s="70" t="s">
        <v>199</v>
      </c>
      <c r="I165" s="30">
        <v>3.8800000000000001E-2</v>
      </c>
      <c r="J165" s="30">
        <v>3.8800000000000001E-2</v>
      </c>
      <c r="K165" s="30">
        <v>3.8800000000000001E-2</v>
      </c>
      <c r="L165" s="80">
        <f>L141*I165</f>
        <v>0.27160000000000001</v>
      </c>
      <c r="M165" s="80">
        <f>M141*I165</f>
        <v>29.371600000000001</v>
      </c>
      <c r="O165" s="80">
        <f>O141*I165</f>
        <v>0.27160000000000001</v>
      </c>
      <c r="P165" s="80">
        <f>P141*I165</f>
        <v>3.9188000000000001</v>
      </c>
      <c r="R165" s="80">
        <f>R141*J165</f>
        <v>3.9188000000000001</v>
      </c>
      <c r="S165" s="80">
        <f>S141*J165</f>
        <v>191.5556</v>
      </c>
      <c r="T165" s="80">
        <f>T141*J165</f>
        <v>25.8796</v>
      </c>
      <c r="U165" s="80">
        <f>U141*J165</f>
        <v>38.955199999999998</v>
      </c>
      <c r="W165" s="97">
        <f>W141*K165</f>
        <v>570.36</v>
      </c>
      <c r="X165" s="97">
        <f>X141*K165</f>
        <v>679</v>
      </c>
      <c r="Y165" s="97">
        <f>Y141*K165</f>
        <v>8636.880000000001</v>
      </c>
    </row>
    <row r="166" spans="1:25" ht="13.5" hidden="1" thickBot="1" x14ac:dyDescent="0.25">
      <c r="A166" s="197" t="s">
        <v>176</v>
      </c>
      <c r="B166" s="71" t="s">
        <v>135</v>
      </c>
      <c r="C166" s="198">
        <v>2.5000000000000001E-3</v>
      </c>
      <c r="D166" s="198"/>
      <c r="E166" s="198">
        <v>2.5000000000000001E-3</v>
      </c>
      <c r="F166" s="198"/>
      <c r="G166" s="203">
        <f>C166</f>
        <v>2.5000000000000001E-3</v>
      </c>
      <c r="H166" s="200"/>
      <c r="I166" s="30">
        <v>2.5000000000000001E-3</v>
      </c>
      <c r="J166" s="30">
        <v>2.5000000000000001E-3</v>
      </c>
      <c r="K166" s="30">
        <v>2.5000000000000001E-3</v>
      </c>
      <c r="L166" s="80">
        <f>$L$141*I166</f>
        <v>1.7500000000000002E-2</v>
      </c>
      <c r="M166" s="80">
        <f>M141*I166</f>
        <v>1.8925000000000001</v>
      </c>
      <c r="O166" s="80">
        <f>$O$141*I166</f>
        <v>1.7500000000000002E-2</v>
      </c>
      <c r="P166" s="80">
        <f>P141*I166</f>
        <v>0.2525</v>
      </c>
      <c r="R166" s="80">
        <f>$R$141*J166</f>
        <v>0.2525</v>
      </c>
      <c r="S166" s="80">
        <f>$S$141*J166</f>
        <v>12.342500000000001</v>
      </c>
      <c r="T166" s="80">
        <f>$T$141*J166</f>
        <v>1.6675</v>
      </c>
      <c r="U166" s="80">
        <f>$U$141*J166</f>
        <v>2.5100000000000002</v>
      </c>
      <c r="W166" s="97">
        <f>$W$141*K166</f>
        <v>36.75</v>
      </c>
      <c r="X166" s="97">
        <f>$X$141*K166</f>
        <v>43.75</v>
      </c>
      <c r="Y166" s="97">
        <f>$Y$141*K166</f>
        <v>556.5</v>
      </c>
    </row>
    <row r="167" spans="1:25" ht="13.5" hidden="1" thickBot="1" x14ac:dyDescent="0.25">
      <c r="A167" s="197" t="s">
        <v>200</v>
      </c>
      <c r="B167" s="71" t="s">
        <v>135</v>
      </c>
      <c r="C167" s="198">
        <v>0.1938</v>
      </c>
      <c r="D167" s="198"/>
      <c r="E167" s="198">
        <f>C167</f>
        <v>0.1938</v>
      </c>
      <c r="F167" s="198"/>
      <c r="G167" s="203">
        <f>C167</f>
        <v>0.1938</v>
      </c>
      <c r="H167" s="70" t="s">
        <v>198</v>
      </c>
      <c r="I167" s="30">
        <v>0.1938</v>
      </c>
      <c r="J167" s="30">
        <v>0.1938</v>
      </c>
      <c r="K167" s="30">
        <v>0.1938</v>
      </c>
      <c r="L167" s="80">
        <f>$L$141*I167</f>
        <v>1.3566</v>
      </c>
      <c r="M167" s="80">
        <f>M141*I167</f>
        <v>146.70660000000001</v>
      </c>
      <c r="O167" s="80">
        <f>$O$141*I167</f>
        <v>1.3566</v>
      </c>
      <c r="P167" s="80">
        <f>P141*I167</f>
        <v>19.573799999999999</v>
      </c>
      <c r="R167" s="80">
        <f>$R$141*J167</f>
        <v>19.573799999999999</v>
      </c>
      <c r="S167" s="80">
        <f>$S$141*J167</f>
        <v>956.79060000000004</v>
      </c>
      <c r="T167" s="80">
        <f>$T$141*J167</f>
        <v>129.2646</v>
      </c>
      <c r="U167" s="80">
        <f>$U$141*J167</f>
        <v>194.5752</v>
      </c>
      <c r="W167" s="97">
        <f>$W$141*K167</f>
        <v>2848.86</v>
      </c>
      <c r="X167" s="97">
        <f>$X$141*K167</f>
        <v>3391.5</v>
      </c>
      <c r="Y167" s="97">
        <f>$Y$141*K167</f>
        <v>43139.88</v>
      </c>
    </row>
    <row r="168" spans="1:25" ht="13.5" hidden="1" thickBot="1" x14ac:dyDescent="0.25">
      <c r="A168" s="204" t="s">
        <v>177</v>
      </c>
      <c r="B168" s="205" t="s">
        <v>135</v>
      </c>
      <c r="C168" s="206">
        <v>0.40039999999999998</v>
      </c>
      <c r="D168" s="206"/>
      <c r="E168" s="206">
        <v>0.40039999999999998</v>
      </c>
      <c r="F168" s="206"/>
      <c r="G168" s="203">
        <f>C168</f>
        <v>0.40039999999999998</v>
      </c>
      <c r="H168" s="200"/>
      <c r="I168" s="30">
        <v>0.40039999999999998</v>
      </c>
      <c r="J168" s="30">
        <v>0.40039999999999998</v>
      </c>
      <c r="K168" s="30">
        <v>0.40039999999999998</v>
      </c>
      <c r="L168" s="80">
        <f>L141*I168</f>
        <v>2.8028</v>
      </c>
      <c r="M168" s="80">
        <f>M141*I168</f>
        <v>303.1028</v>
      </c>
      <c r="O168" s="80">
        <f>O141*I168</f>
        <v>2.8028</v>
      </c>
      <c r="P168" s="80">
        <f>P141*I168</f>
        <v>40.440399999999997</v>
      </c>
      <c r="R168" s="80">
        <f>R141*J168</f>
        <v>40.440399999999997</v>
      </c>
      <c r="S168" s="80">
        <f>S141*J168</f>
        <v>1976.7747999999999</v>
      </c>
      <c r="T168" s="80">
        <f>T141*J168</f>
        <v>267.0668</v>
      </c>
      <c r="U168" s="80">
        <f>U141*J168</f>
        <v>402.0016</v>
      </c>
      <c r="W168" s="97">
        <f>W141*K168</f>
        <v>5885.88</v>
      </c>
      <c r="X168" s="97">
        <f>X141*K168</f>
        <v>7007</v>
      </c>
      <c r="Y168" s="97">
        <f>Y141*K168</f>
        <v>89129.04</v>
      </c>
    </row>
    <row r="169" spans="1:25" ht="13.5" hidden="1" thickBot="1" x14ac:dyDescent="0.25">
      <c r="A169" s="207" t="s">
        <v>178</v>
      </c>
      <c r="B169" s="208"/>
      <c r="C169" s="209" t="e">
        <f>C146+C147+C150+C151+C155+C158+C161+C162+C163+C165+C166+C167+C168</f>
        <v>#REF!</v>
      </c>
      <c r="D169" s="210"/>
      <c r="E169" s="209" t="e">
        <f>E146+E147+E150+E151+E155+E158+E161+E162+E163+E165+E166+E167+E168</f>
        <v>#REF!</v>
      </c>
      <c r="F169" s="210"/>
      <c r="G169" s="209" t="e">
        <f>G146+G147+G150+G151+G155+G158+G161+G162+G163+G165+G166+G167+G168</f>
        <v>#REF!</v>
      </c>
      <c r="H169" s="209"/>
      <c r="I169" s="209">
        <v>9.6416000000000004</v>
      </c>
      <c r="J169" s="209">
        <v>8.5822000000000003</v>
      </c>
      <c r="K169" s="209">
        <v>5.9946000000000002</v>
      </c>
      <c r="L169" s="115">
        <f>SUM(L142:L168)</f>
        <v>51.958942499999992</v>
      </c>
      <c r="M169" s="116">
        <f>SUM(M142:M168)</f>
        <v>6520.8619799999997</v>
      </c>
      <c r="O169" s="117">
        <f>SUM(O142:O168)</f>
        <v>51.958942499999992</v>
      </c>
      <c r="P169" s="117">
        <f>SUM(P142:P168)</f>
        <v>978.80160000000001</v>
      </c>
      <c r="R169" s="117">
        <f>SUM(R142:R168)</f>
        <v>935.67219999999998</v>
      </c>
      <c r="S169" s="117">
        <f>SUM(S142:S168)</f>
        <v>42439.191400000003</v>
      </c>
      <c r="T169" s="117">
        <f>SUM(T142:T168)</f>
        <v>5793.1973999999991</v>
      </c>
      <c r="U169" s="117">
        <f>SUM(U142:U168)</f>
        <v>8685.3988000000008</v>
      </c>
      <c r="W169" s="118">
        <f>SUM(W142:W168)</f>
        <v>156698.64399999997</v>
      </c>
      <c r="X169" s="118">
        <f>SUM(X142:X168)</f>
        <v>211163.55869999999</v>
      </c>
      <c r="Y169" s="118">
        <f>SUM(Y142:Y168)</f>
        <v>1714692.6346999996</v>
      </c>
    </row>
    <row r="170" spans="1:25" ht="13.5" hidden="1" thickBot="1" x14ac:dyDescent="0.25">
      <c r="A170" s="207" t="s">
        <v>179</v>
      </c>
      <c r="B170" s="208" t="s">
        <v>166</v>
      </c>
      <c r="C170" s="211">
        <f>C160</f>
        <v>5</v>
      </c>
      <c r="D170" s="211"/>
      <c r="E170" s="211">
        <f>E157+E160</f>
        <v>68.87</v>
      </c>
      <c r="F170" s="211"/>
      <c r="G170" s="211">
        <f>G157+G160</f>
        <v>68.87</v>
      </c>
      <c r="H170" s="209"/>
      <c r="I170" s="120">
        <f>I142+I143+I144+I145+I150+I151+I155+I158+I161</f>
        <v>9.0365999999999982</v>
      </c>
      <c r="J170" s="64" t="e">
        <f>E169-J169</f>
        <v>#REF!</v>
      </c>
      <c r="K170" s="64" t="e">
        <f>G169-K169</f>
        <v>#REF!</v>
      </c>
      <c r="L170" s="121"/>
      <c r="M170" s="30" t="s">
        <v>180</v>
      </c>
      <c r="O170" s="121">
        <f>O141*I172</f>
        <v>1.0164</v>
      </c>
      <c r="P170" s="121">
        <f>P141*I172</f>
        <v>14.665199999999999</v>
      </c>
      <c r="R170" s="121">
        <f>R141*J172</f>
        <v>14.665199999999999</v>
      </c>
      <c r="S170" s="121">
        <f>S141*K172</f>
        <v>716.85239999999999</v>
      </c>
      <c r="T170" s="121">
        <f>T141*J172</f>
        <v>96.848399999999998</v>
      </c>
      <c r="U170" s="121">
        <f>U141*J172</f>
        <v>145.7808</v>
      </c>
      <c r="W170" s="122">
        <f>W141*K172</f>
        <v>2134.44</v>
      </c>
      <c r="X170" s="122">
        <f>X141*K172</f>
        <v>2541</v>
      </c>
      <c r="Y170" s="122">
        <f>Y141*K172</f>
        <v>32321.52</v>
      </c>
    </row>
    <row r="171" spans="1:25" ht="14.25" hidden="1" thickTop="1" thickBot="1" x14ac:dyDescent="0.25">
      <c r="A171" s="207" t="s">
        <v>181</v>
      </c>
      <c r="B171" s="212" t="s">
        <v>158</v>
      </c>
      <c r="C171" s="209"/>
      <c r="D171" s="209"/>
      <c r="E171" s="209"/>
      <c r="F171" s="209"/>
      <c r="G171" s="209" t="e">
        <f>G149+G154</f>
        <v>#REF!</v>
      </c>
      <c r="H171" s="209"/>
      <c r="I171" s="30" t="s">
        <v>182</v>
      </c>
      <c r="J171" s="30" t="s">
        <v>182</v>
      </c>
      <c r="K171" s="30" t="s">
        <v>182</v>
      </c>
      <c r="L171" s="121"/>
      <c r="M171" s="30" t="s">
        <v>183</v>
      </c>
      <c r="O171" s="121">
        <f>O141*I173</f>
        <v>1.89E-2</v>
      </c>
      <c r="P171" s="121">
        <f>P141*I173</f>
        <v>0.2727</v>
      </c>
      <c r="R171" s="121">
        <f>R141*J173</f>
        <v>0.2727</v>
      </c>
      <c r="S171" s="121">
        <f>S141*K173</f>
        <v>13.3299</v>
      </c>
      <c r="T171" s="121">
        <f>T141*J173</f>
        <v>1.8009000000000002</v>
      </c>
      <c r="U171" s="121">
        <f>U141*J173</f>
        <v>2.7108000000000003</v>
      </c>
      <c r="W171" s="122">
        <f>W141*K173</f>
        <v>39.690000000000005</v>
      </c>
      <c r="X171" s="122">
        <f>X141*K173</f>
        <v>47.25</v>
      </c>
      <c r="Y171" s="122">
        <f>Y141*K173</f>
        <v>601.02</v>
      </c>
    </row>
    <row r="172" spans="1:25" ht="14.25" hidden="1" thickTop="1" thickBot="1" x14ac:dyDescent="0.25">
      <c r="A172" s="71"/>
      <c r="B172" s="71"/>
      <c r="C172" s="71"/>
      <c r="D172" s="990" t="s">
        <v>184</v>
      </c>
      <c r="E172" s="990"/>
      <c r="F172" s="991"/>
      <c r="G172" s="992" t="s">
        <v>185</v>
      </c>
      <c r="H172" s="990"/>
      <c r="I172" s="30">
        <v>0.1452</v>
      </c>
      <c r="J172" s="30">
        <v>0.1452</v>
      </c>
      <c r="K172" s="30">
        <v>0.1452</v>
      </c>
      <c r="L172" s="121"/>
      <c r="M172" s="30" t="s">
        <v>186</v>
      </c>
      <c r="O172" s="121">
        <f>O141*I174</f>
        <v>0.13439999999999999</v>
      </c>
      <c r="P172" s="121">
        <f>P141*I174</f>
        <v>1.9391999999999998</v>
      </c>
      <c r="R172" s="121">
        <f>R141*J174</f>
        <v>1.9391999999999998</v>
      </c>
      <c r="S172" s="121">
        <f>S141*J174</f>
        <v>94.790399999999991</v>
      </c>
      <c r="T172" s="121">
        <f>T141*J174</f>
        <v>12.806399999999998</v>
      </c>
      <c r="U172" s="121">
        <f>U141*J174</f>
        <v>19.276799999999998</v>
      </c>
      <c r="W172" s="122">
        <v>0</v>
      </c>
      <c r="X172" s="122">
        <v>0</v>
      </c>
      <c r="Y172" s="122">
        <v>0</v>
      </c>
    </row>
    <row r="173" spans="1:25" ht="13.5" hidden="1" thickBot="1" x14ac:dyDescent="0.25">
      <c r="A173" s="71"/>
      <c r="B173" s="71"/>
      <c r="C173" s="71"/>
      <c r="D173" s="213" t="s">
        <v>187</v>
      </c>
      <c r="E173" s="214" t="s">
        <v>188</v>
      </c>
      <c r="F173" s="215" t="s">
        <v>189</v>
      </c>
      <c r="G173" s="993" t="s">
        <v>190</v>
      </c>
      <c r="H173" s="994"/>
      <c r="I173" s="64">
        <v>2.7000000000000001E-3</v>
      </c>
      <c r="J173" s="64">
        <v>2.7000000000000001E-3</v>
      </c>
      <c r="K173" s="64">
        <v>2.7000000000000001E-3</v>
      </c>
      <c r="L173" s="121"/>
      <c r="M173" s="30" t="s">
        <v>191</v>
      </c>
      <c r="O173" s="121">
        <f>(SUM(O147,O155:O162))*12%</f>
        <v>0.16066200000000008</v>
      </c>
      <c r="P173" s="121">
        <f>(SUM(P147,P155:P162))*12%</f>
        <v>25.357523999999998</v>
      </c>
      <c r="R173" s="121">
        <f>(SUM(R147,R155:R162))*12%</f>
        <v>21.037667999999996</v>
      </c>
      <c r="S173" s="121">
        <f>(SUM(S147,S155:S162))*12%</f>
        <v>632.63691599999981</v>
      </c>
      <c r="T173" s="121">
        <f>(SUM(T147,T155:T162))*12%</f>
        <v>92.618555999999984</v>
      </c>
      <c r="U173" s="121">
        <f>(SUM(U147,U155:U162))*12%</f>
        <v>135.23827199999999</v>
      </c>
      <c r="W173" s="122">
        <f>(SUM(W147,W154:W162))*12%</f>
        <v>4734.7763999999997</v>
      </c>
      <c r="X173" s="122">
        <f>(SUM(X147,X154:X162))*12%</f>
        <v>7253.1803999999993</v>
      </c>
      <c r="Y173" s="122">
        <f>(SUM(Y147,Y154:Y162))*12%</f>
        <v>28406.396399999994</v>
      </c>
    </row>
    <row r="174" spans="1:25" ht="13.5" hidden="1" thickBot="1" x14ac:dyDescent="0.25">
      <c r="A174" s="71"/>
      <c r="B174" s="71"/>
      <c r="C174" s="71"/>
      <c r="D174" s="216" t="e">
        <f>#REF!</f>
        <v>#REF!</v>
      </c>
      <c r="E174" s="216" t="e">
        <f>#REF!</f>
        <v>#REF!</v>
      </c>
      <c r="F174" s="216" t="e">
        <f>#REF!</f>
        <v>#REF!</v>
      </c>
      <c r="G174" s="217">
        <v>0.12</v>
      </c>
      <c r="H174" s="218"/>
      <c r="I174" s="64">
        <v>1.9199999999999998E-2</v>
      </c>
      <c r="J174" s="64">
        <v>1.9199999999999998E-2</v>
      </c>
      <c r="K174" s="64">
        <v>1.9199999999999998E-2</v>
      </c>
      <c r="O174" s="116">
        <f>SUM(O169:O173)</f>
        <v>53.289304499999993</v>
      </c>
      <c r="P174" s="116">
        <f>SUM(P169:P173)</f>
        <v>1021.0362240000001</v>
      </c>
      <c r="R174" s="116">
        <f>SUM(R169:R173)</f>
        <v>973.58696800000007</v>
      </c>
      <c r="S174" s="116">
        <f>SUM(S169:S173)</f>
        <v>43896.801016000005</v>
      </c>
      <c r="T174" s="116">
        <f>SUM(T169:T173)</f>
        <v>5997.2716559999999</v>
      </c>
      <c r="U174" s="116">
        <f>SUM(U169:U173)</f>
        <v>8988.4054720000022</v>
      </c>
      <c r="W174" s="116">
        <f>SUM(W169:W173)</f>
        <v>163607.55039999998</v>
      </c>
      <c r="X174" s="116">
        <f>SUM(X169:X173)</f>
        <v>221004.98910000001</v>
      </c>
      <c r="Y174" s="116">
        <f>SUM(Y169:Y173)</f>
        <v>1776021.5710999996</v>
      </c>
    </row>
    <row r="175" spans="1:25" ht="13.5" hidden="1" thickBot="1" x14ac:dyDescent="0.25">
      <c r="A175" s="70" t="s">
        <v>192</v>
      </c>
      <c r="B175" s="70"/>
      <c r="C175" s="219" t="s">
        <v>193</v>
      </c>
      <c r="D175" s="71"/>
      <c r="E175" s="71"/>
      <c r="F175" s="71"/>
      <c r="G175" s="71"/>
      <c r="H175" s="71"/>
      <c r="J175" s="97"/>
      <c r="O175" s="80">
        <v>3.19</v>
      </c>
      <c r="P175" s="97"/>
    </row>
    <row r="176" spans="1:25" ht="13.5" hidden="1" thickBot="1" x14ac:dyDescent="0.25">
      <c r="A176" s="70"/>
      <c r="B176" s="71"/>
      <c r="C176" s="70"/>
      <c r="D176" s="71"/>
      <c r="E176" s="71"/>
      <c r="F176" s="71"/>
      <c r="G176" s="71"/>
      <c r="H176" s="71"/>
      <c r="L176" s="80">
        <v>3.19</v>
      </c>
      <c r="O176" s="80">
        <v>0.38300000000000001</v>
      </c>
      <c r="P176" s="97"/>
      <c r="R176" s="122"/>
    </row>
    <row r="177" spans="1:25" ht="13.5" hidden="1" thickBot="1" x14ac:dyDescent="0.25">
      <c r="A177" s="220" t="s">
        <v>194</v>
      </c>
      <c r="B177" s="190"/>
      <c r="C177" s="220" t="s">
        <v>195</v>
      </c>
      <c r="D177" s="71"/>
      <c r="E177" s="71"/>
      <c r="F177" s="71"/>
      <c r="G177" s="71"/>
      <c r="H177" s="71"/>
      <c r="L177" s="80">
        <v>0.38300000000000001</v>
      </c>
      <c r="O177" s="97">
        <f>O174+O175+O176</f>
        <v>56.862304499999993</v>
      </c>
    </row>
    <row r="178" spans="1:25" ht="13.5" hidden="1" thickBot="1" x14ac:dyDescent="0.25">
      <c r="A178" s="70" t="s">
        <v>196</v>
      </c>
      <c r="B178" s="71"/>
      <c r="C178" s="70" t="s">
        <v>197</v>
      </c>
      <c r="D178" s="71"/>
      <c r="E178" s="71"/>
      <c r="F178" s="71"/>
      <c r="G178" s="71"/>
      <c r="H178" s="71"/>
      <c r="O178" s="97">
        <v>-58.1</v>
      </c>
    </row>
    <row r="179" spans="1:25" ht="13.5" hidden="1" thickBot="1" x14ac:dyDescent="0.25">
      <c r="A179" s="73" t="s">
        <v>64</v>
      </c>
      <c r="B179" s="73"/>
      <c r="C179" s="73"/>
      <c r="D179" s="73"/>
      <c r="E179" s="73"/>
      <c r="F179" s="73"/>
      <c r="G179" s="73"/>
      <c r="H179" s="73"/>
    </row>
    <row r="180" spans="1:25" ht="13.5" hidden="1" thickBot="1" x14ac:dyDescent="0.25">
      <c r="A180" s="73" t="s">
        <v>0</v>
      </c>
      <c r="B180" s="73"/>
      <c r="C180" s="73"/>
      <c r="D180" s="73"/>
      <c r="E180" s="73"/>
      <c r="F180" s="73"/>
      <c r="G180" s="73"/>
      <c r="H180" s="73"/>
    </row>
    <row r="181" spans="1:25" ht="13.5" hidden="1" thickBot="1" x14ac:dyDescent="0.25">
      <c r="A181" s="73"/>
      <c r="B181" s="73"/>
      <c r="C181" s="73"/>
      <c r="D181" s="73"/>
      <c r="E181" s="73"/>
      <c r="F181" s="73"/>
      <c r="G181" s="73"/>
      <c r="H181" s="73"/>
    </row>
    <row r="182" spans="1:25" ht="13.5" hidden="1" thickBot="1" x14ac:dyDescent="0.25">
      <c r="A182" s="221" t="s">
        <v>60</v>
      </c>
      <c r="B182" s="73"/>
      <c r="C182" s="73"/>
      <c r="D182" s="73"/>
      <c r="E182" s="73"/>
      <c r="F182" s="73"/>
      <c r="G182" s="73"/>
      <c r="H182" s="73"/>
      <c r="W182" s="34" t="s">
        <v>143</v>
      </c>
      <c r="X182" s="34" t="s">
        <v>144</v>
      </c>
      <c r="Y182" s="34" t="s">
        <v>1</v>
      </c>
    </row>
    <row r="183" spans="1:25" ht="13.5" hidden="1" thickBot="1" x14ac:dyDescent="0.25">
      <c r="A183" s="222" t="s">
        <v>57</v>
      </c>
      <c r="B183" s="73"/>
      <c r="C183" s="73"/>
      <c r="D183" s="73"/>
      <c r="E183" s="73"/>
      <c r="F183" s="73"/>
      <c r="G183" s="73"/>
      <c r="H183" s="73"/>
      <c r="W183" s="83" t="s">
        <v>145</v>
      </c>
      <c r="X183" s="83" t="s">
        <v>145</v>
      </c>
      <c r="Y183" s="83" t="s">
        <v>145</v>
      </c>
    </row>
    <row r="184" spans="1:25" ht="13.5" hidden="1" thickBot="1" x14ac:dyDescent="0.25">
      <c r="A184" s="222"/>
      <c r="B184" s="73"/>
      <c r="C184" s="73"/>
      <c r="D184" s="73"/>
      <c r="E184" s="73"/>
      <c r="F184" s="73"/>
      <c r="G184" s="73"/>
      <c r="H184" s="73"/>
      <c r="L184" s="84" t="s">
        <v>146</v>
      </c>
      <c r="M184" s="73" t="s">
        <v>6</v>
      </c>
      <c r="N184" s="73"/>
      <c r="O184" s="84" t="s">
        <v>146</v>
      </c>
      <c r="P184" s="73" t="s">
        <v>6</v>
      </c>
      <c r="R184" s="85" t="s">
        <v>147</v>
      </c>
      <c r="S184" s="85" t="s">
        <v>147</v>
      </c>
      <c r="T184" s="85" t="s">
        <v>147</v>
      </c>
      <c r="U184" s="85" t="s">
        <v>147</v>
      </c>
      <c r="W184" s="86">
        <f>0.2*700</f>
        <v>140</v>
      </c>
      <c r="X184" s="86">
        <f>0.31*700</f>
        <v>217</v>
      </c>
      <c r="Y184" s="86">
        <f>0.37*2100</f>
        <v>777</v>
      </c>
    </row>
    <row r="185" spans="1:25" ht="13.5" hidden="1" thickBot="1" x14ac:dyDescent="0.25">
      <c r="A185" s="995"/>
      <c r="B185" s="996"/>
      <c r="C185" s="223" t="s">
        <v>6</v>
      </c>
      <c r="D185" s="997" t="s">
        <v>47</v>
      </c>
      <c r="E185" s="998"/>
      <c r="F185" s="999"/>
      <c r="G185" s="997" t="s">
        <v>13</v>
      </c>
      <c r="H185" s="999"/>
      <c r="I185" s="224" t="s">
        <v>6</v>
      </c>
      <c r="J185" s="223" t="s">
        <v>47</v>
      </c>
      <c r="K185" s="223" t="s">
        <v>13</v>
      </c>
      <c r="L185" s="80" t="s">
        <v>130</v>
      </c>
      <c r="M185" s="88" t="s">
        <v>148</v>
      </c>
      <c r="O185" s="80" t="s">
        <v>130</v>
      </c>
      <c r="P185" s="80" t="s">
        <v>130</v>
      </c>
      <c r="R185" s="80" t="s">
        <v>130</v>
      </c>
      <c r="S185" s="80" t="s">
        <v>130</v>
      </c>
      <c r="T185" s="80" t="s">
        <v>130</v>
      </c>
      <c r="U185" s="80" t="s">
        <v>130</v>
      </c>
      <c r="W185" s="89" t="s">
        <v>130</v>
      </c>
      <c r="X185" s="89" t="s">
        <v>130</v>
      </c>
      <c r="Y185" s="89" t="s">
        <v>130</v>
      </c>
    </row>
    <row r="186" spans="1:25" ht="13.5" hidden="1" thickBot="1" x14ac:dyDescent="0.25">
      <c r="A186" s="225" t="s">
        <v>149</v>
      </c>
      <c r="B186" s="73"/>
      <c r="C186" s="226"/>
      <c r="D186" s="226"/>
      <c r="E186" s="226"/>
      <c r="F186" s="226"/>
      <c r="G186" s="226"/>
      <c r="H186" s="227"/>
      <c r="J186" s="93"/>
      <c r="L186" s="93">
        <v>20</v>
      </c>
      <c r="M186" s="93">
        <v>20</v>
      </c>
      <c r="O186" s="93">
        <v>41</v>
      </c>
      <c r="P186" s="93">
        <v>101</v>
      </c>
      <c r="R186" s="93">
        <v>101</v>
      </c>
      <c r="S186" s="93">
        <v>4937</v>
      </c>
      <c r="T186" s="93">
        <v>667</v>
      </c>
      <c r="U186" s="93">
        <v>1004</v>
      </c>
      <c r="W186" s="94">
        <f>(0-929)*700</f>
        <v>-650300</v>
      </c>
      <c r="X186" s="94">
        <f>(0-1002)*700</f>
        <v>-701400</v>
      </c>
      <c r="Y186" s="94">
        <f>(0-2677)*2100</f>
        <v>-5621700</v>
      </c>
    </row>
    <row r="187" spans="1:25" ht="13.5" hidden="1" thickBot="1" x14ac:dyDescent="0.25">
      <c r="A187" s="228" t="s">
        <v>150</v>
      </c>
      <c r="B187" s="73" t="s">
        <v>135</v>
      </c>
      <c r="C187" s="229" t="e">
        <f>C191-C188-C189-C190</f>
        <v>#REF!</v>
      </c>
      <c r="D187" s="229"/>
      <c r="E187" s="229" t="e">
        <f>E191-E188-E189-E190</f>
        <v>#REF!</v>
      </c>
      <c r="F187" s="229"/>
      <c r="G187" s="229" t="e">
        <f>G191-G188-G189-G190</f>
        <v>#REF!</v>
      </c>
      <c r="H187" s="230"/>
      <c r="I187" s="30">
        <v>4.3851000000000004</v>
      </c>
      <c r="J187" s="30">
        <f>I187</f>
        <v>4.3851000000000004</v>
      </c>
      <c r="K187" s="30">
        <f>I187</f>
        <v>4.3851000000000004</v>
      </c>
      <c r="L187" s="80">
        <f>L186*(I187+I189+I190)</f>
        <v>99.822000000000003</v>
      </c>
      <c r="M187" s="80">
        <f>M186*(I187+I189+I190)</f>
        <v>99.822000000000003</v>
      </c>
      <c r="O187" s="80">
        <f>O186*(I187+I189+I190)</f>
        <v>204.63510000000002</v>
      </c>
      <c r="P187" s="80">
        <f>P186*(I187+I189+I190)</f>
        <v>504.10110000000003</v>
      </c>
      <c r="R187" s="80">
        <f>R186*(J187+J189+J190)</f>
        <v>504.10110000000003</v>
      </c>
      <c r="S187" s="80">
        <f>S186*(J187+J189+J190)</f>
        <v>24641.060700000002</v>
      </c>
      <c r="T187" s="80">
        <f>T186*(J187+J189+J190)</f>
        <v>3329.0637000000002</v>
      </c>
      <c r="U187" s="80">
        <f>U186*(J187+J189+J190)</f>
        <v>5011.0644000000002</v>
      </c>
      <c r="W187" s="97">
        <f>W186*(K187+K189+K190)</f>
        <v>-3245712.33</v>
      </c>
      <c r="X187" s="97">
        <f>X186*(K187+K189+K190)</f>
        <v>-3500757.54</v>
      </c>
      <c r="Y187" s="97">
        <f>Y186*(K187+K189+K190)</f>
        <v>-28058466.870000001</v>
      </c>
    </row>
    <row r="188" spans="1:25" ht="13.5" hidden="1" thickBot="1" x14ac:dyDescent="0.25">
      <c r="A188" s="228" t="s">
        <v>151</v>
      </c>
      <c r="B188" s="73" t="s">
        <v>135</v>
      </c>
      <c r="C188" s="229">
        <v>1.77E-2</v>
      </c>
      <c r="D188" s="229"/>
      <c r="E188" s="229">
        <v>1.77E-2</v>
      </c>
      <c r="F188" s="229"/>
      <c r="G188" s="229">
        <v>1.77E-2</v>
      </c>
      <c r="H188" s="231"/>
      <c r="I188" s="30">
        <v>1.77E-2</v>
      </c>
      <c r="J188" s="30">
        <v>1.77E-2</v>
      </c>
      <c r="K188" s="30">
        <v>1.77E-2</v>
      </c>
      <c r="L188" s="80">
        <f>L186*I188</f>
        <v>0.35399999999999998</v>
      </c>
      <c r="M188" s="80">
        <f>M186*I188</f>
        <v>0.35399999999999998</v>
      </c>
      <c r="O188" s="80">
        <f>O186*I188</f>
        <v>0.72570000000000001</v>
      </c>
      <c r="P188" s="80">
        <f>P186*I188</f>
        <v>1.7877000000000001</v>
      </c>
      <c r="R188" s="80">
        <f>R186*J188</f>
        <v>1.7877000000000001</v>
      </c>
      <c r="S188" s="80">
        <f>S186*J188</f>
        <v>87.384900000000002</v>
      </c>
      <c r="T188" s="80">
        <f>T186*J188</f>
        <v>11.805900000000001</v>
      </c>
      <c r="U188" s="80">
        <f>U186*J188</f>
        <v>17.770800000000001</v>
      </c>
      <c r="W188" s="97">
        <f>W186*K188</f>
        <v>-11510.31</v>
      </c>
      <c r="X188" s="97">
        <f>X186*K188</f>
        <v>-12414.78</v>
      </c>
      <c r="Y188" s="97">
        <f>Y186*K188</f>
        <v>-99504.09</v>
      </c>
    </row>
    <row r="189" spans="1:25" ht="13.5" hidden="1" thickBot="1" x14ac:dyDescent="0.25">
      <c r="A189" s="228" t="s">
        <v>152</v>
      </c>
      <c r="B189" s="73" t="s">
        <v>135</v>
      </c>
      <c r="C189" s="229">
        <v>0.48470000000000002</v>
      </c>
      <c r="D189" s="229"/>
      <c r="E189" s="229">
        <v>0.48470000000000002</v>
      </c>
      <c r="F189" s="229"/>
      <c r="G189" s="229">
        <v>0.48470000000000002</v>
      </c>
      <c r="H189" s="231"/>
      <c r="I189" s="30">
        <v>0.48470000000000002</v>
      </c>
      <c r="J189" s="30">
        <v>0.48470000000000002</v>
      </c>
      <c r="K189" s="30">
        <v>0.48470000000000002</v>
      </c>
      <c r="M189" s="80"/>
      <c r="O189" s="80"/>
      <c r="P189" s="80"/>
      <c r="R189" s="80"/>
      <c r="S189" s="80"/>
      <c r="T189" s="80"/>
      <c r="U189" s="80"/>
      <c r="W189" s="97"/>
      <c r="X189" s="97"/>
      <c r="Y189" s="97"/>
    </row>
    <row r="190" spans="1:25" ht="13.5" hidden="1" thickBot="1" x14ac:dyDescent="0.25">
      <c r="A190" s="228" t="s">
        <v>153</v>
      </c>
      <c r="B190" s="73" t="s">
        <v>135</v>
      </c>
      <c r="C190" s="229">
        <v>0.12130000000000001</v>
      </c>
      <c r="D190" s="229"/>
      <c r="E190" s="229">
        <v>0.12130000000000001</v>
      </c>
      <c r="F190" s="229"/>
      <c r="G190" s="229">
        <v>0.12130000000000001</v>
      </c>
      <c r="H190" s="231"/>
      <c r="I190" s="30">
        <v>0.12130000000000001</v>
      </c>
      <c r="J190" s="30">
        <v>0.12130000000000001</v>
      </c>
      <c r="K190" s="30">
        <v>0.12130000000000001</v>
      </c>
      <c r="M190" s="80"/>
      <c r="O190" s="80"/>
      <c r="P190" s="80"/>
      <c r="R190" s="80"/>
      <c r="S190" s="80"/>
      <c r="T190" s="80"/>
      <c r="U190" s="80"/>
      <c r="W190" s="97"/>
      <c r="X190" s="97"/>
      <c r="Y190" s="97"/>
    </row>
    <row r="191" spans="1:25" ht="13.5" hidden="1" thickBot="1" x14ac:dyDescent="0.25">
      <c r="A191" s="228" t="s">
        <v>154</v>
      </c>
      <c r="B191" s="73"/>
      <c r="C191" s="232" t="e">
        <f>#REF!</f>
        <v>#REF!</v>
      </c>
      <c r="D191" s="232"/>
      <c r="E191" s="232" t="e">
        <f>C191</f>
        <v>#REF!</v>
      </c>
      <c r="F191" s="232"/>
      <c r="G191" s="232" t="e">
        <f>C191</f>
        <v>#REF!</v>
      </c>
      <c r="H191" s="233"/>
      <c r="M191" s="80"/>
      <c r="O191" s="80"/>
      <c r="P191" s="80"/>
      <c r="R191" s="80"/>
      <c r="S191" s="80"/>
      <c r="T191" s="80"/>
      <c r="U191" s="80"/>
      <c r="W191" s="97"/>
      <c r="X191" s="97"/>
      <c r="Y191" s="97"/>
    </row>
    <row r="192" spans="1:25" ht="13.5" hidden="1" thickBot="1" x14ac:dyDescent="0.25">
      <c r="A192" s="225" t="s">
        <v>155</v>
      </c>
      <c r="B192" s="73" t="s">
        <v>135</v>
      </c>
      <c r="C192" s="229" t="e">
        <f>(-513856.64-28428.29)/#REF!</f>
        <v>#REF!</v>
      </c>
      <c r="D192" s="229"/>
      <c r="E192" s="229"/>
      <c r="F192" s="229"/>
      <c r="G192" s="229"/>
      <c r="H192" s="230"/>
      <c r="I192" s="64">
        <v>-0.20119999999999999</v>
      </c>
      <c r="J192" s="101"/>
      <c r="K192" s="101"/>
      <c r="L192" s="80">
        <f>L186*I192</f>
        <v>-4.024</v>
      </c>
      <c r="M192" s="80">
        <f>M186*I192</f>
        <v>-4.024</v>
      </c>
      <c r="O192" s="102">
        <f>O186*I192</f>
        <v>-8.2492000000000001</v>
      </c>
      <c r="P192" s="102">
        <f>P186*I192</f>
        <v>-20.321199999999997</v>
      </c>
      <c r="R192" s="102">
        <f>R186*J192</f>
        <v>0</v>
      </c>
      <c r="S192" s="102">
        <f>S186*K192</f>
        <v>0</v>
      </c>
      <c r="T192" s="102">
        <f>T186*J192</f>
        <v>0</v>
      </c>
      <c r="U192" s="102">
        <f>U186*J192</f>
        <v>0</v>
      </c>
      <c r="W192" s="103">
        <f>W186*K192</f>
        <v>0</v>
      </c>
      <c r="X192" s="103">
        <f>X186*K192</f>
        <v>0</v>
      </c>
      <c r="Y192" s="103">
        <f>Y186*K192</f>
        <v>0</v>
      </c>
    </row>
    <row r="193" spans="1:25" ht="13.5" hidden="1" thickBot="1" x14ac:dyDescent="0.25">
      <c r="A193" s="225" t="s">
        <v>156</v>
      </c>
      <c r="B193" s="73"/>
      <c r="C193" s="229"/>
      <c r="D193" s="229"/>
      <c r="E193" s="229"/>
      <c r="F193" s="229"/>
      <c r="G193" s="229"/>
      <c r="H193" s="230"/>
      <c r="M193" s="80"/>
      <c r="O193" s="80"/>
      <c r="P193" s="80"/>
      <c r="R193" s="80"/>
      <c r="S193" s="80"/>
      <c r="T193" s="80"/>
      <c r="U193" s="80"/>
      <c r="W193" s="97"/>
      <c r="X193" s="97"/>
      <c r="Y193" s="97"/>
    </row>
    <row r="194" spans="1:25" ht="13.5" hidden="1" thickBot="1" x14ac:dyDescent="0.25">
      <c r="A194" s="228" t="s">
        <v>157</v>
      </c>
      <c r="B194" s="73" t="s">
        <v>158</v>
      </c>
      <c r="C194" s="229"/>
      <c r="D194" s="229"/>
      <c r="E194" s="229"/>
      <c r="F194" s="229"/>
      <c r="G194" s="229" t="e">
        <f>#REF!</f>
        <v>#REF!</v>
      </c>
      <c r="H194" s="231"/>
      <c r="K194" s="64">
        <v>259.02280000000002</v>
      </c>
      <c r="M194" s="80"/>
      <c r="O194" s="80"/>
      <c r="P194" s="80"/>
      <c r="R194" s="80"/>
      <c r="S194" s="80"/>
      <c r="T194" s="80"/>
      <c r="U194" s="80"/>
      <c r="W194" s="104">
        <f>W184*K194</f>
        <v>36263.192000000003</v>
      </c>
      <c r="X194" s="97">
        <f>X184*K194</f>
        <v>56207.947600000007</v>
      </c>
      <c r="Y194" s="97">
        <f>Y184*K194</f>
        <v>201260.71560000003</v>
      </c>
    </row>
    <row r="195" spans="1:25" ht="13.5" hidden="1" thickBot="1" x14ac:dyDescent="0.25">
      <c r="A195" s="228" t="s">
        <v>159</v>
      </c>
      <c r="B195" s="73" t="s">
        <v>135</v>
      </c>
      <c r="C195" s="229" t="e">
        <f>#REF!</f>
        <v>#REF!</v>
      </c>
      <c r="D195" s="229"/>
      <c r="E195" s="229" t="e">
        <f>#REF!</f>
        <v>#REF!</v>
      </c>
      <c r="F195" s="229"/>
      <c r="G195" s="229"/>
      <c r="H195" s="231"/>
      <c r="I195" s="30">
        <v>0.73180000000000001</v>
      </c>
      <c r="J195" s="64">
        <v>0.75449999999999995</v>
      </c>
      <c r="L195" s="80">
        <f>L186*I195</f>
        <v>14.635999999999999</v>
      </c>
      <c r="M195" s="80">
        <f>M186*I195</f>
        <v>14.635999999999999</v>
      </c>
      <c r="O195" s="80">
        <f>O186*I195</f>
        <v>30.003800000000002</v>
      </c>
      <c r="P195" s="80">
        <f>P186*I195</f>
        <v>73.911799999999999</v>
      </c>
      <c r="R195" s="80">
        <f>R186*J195</f>
        <v>76.204499999999996</v>
      </c>
      <c r="S195" s="80">
        <f>S186*J195</f>
        <v>3724.9664999999995</v>
      </c>
      <c r="T195" s="80">
        <f>T186*J195</f>
        <v>503.25149999999996</v>
      </c>
      <c r="U195" s="80">
        <f>U186*J195</f>
        <v>757.51799999999992</v>
      </c>
      <c r="W195" s="97">
        <f>W186*K195</f>
        <v>0</v>
      </c>
      <c r="X195" s="97">
        <f>X186*K195</f>
        <v>0</v>
      </c>
      <c r="Y195" s="97">
        <f>Y186*K195</f>
        <v>0</v>
      </c>
    </row>
    <row r="196" spans="1:25" ht="13.5" hidden="1" thickBot="1" x14ac:dyDescent="0.25">
      <c r="A196" s="225" t="s">
        <v>160</v>
      </c>
      <c r="B196" s="73" t="s">
        <v>135</v>
      </c>
      <c r="C196" s="229" t="e">
        <f>#REF!</f>
        <v>#REF!</v>
      </c>
      <c r="D196" s="229"/>
      <c r="E196" s="229" t="e">
        <f>#REF!</f>
        <v>#REF!</v>
      </c>
      <c r="F196" s="229"/>
      <c r="G196" s="229" t="e">
        <f>#REF!</f>
        <v>#REF!</v>
      </c>
      <c r="H196" s="231"/>
      <c r="I196" s="30">
        <v>0.71189999999999998</v>
      </c>
      <c r="J196" s="30">
        <v>0.7147</v>
      </c>
      <c r="K196" s="30">
        <v>0.75229999999999997</v>
      </c>
      <c r="L196" s="80">
        <f>L186*I196</f>
        <v>14.238</v>
      </c>
      <c r="M196" s="80">
        <f>M186*I196</f>
        <v>14.238</v>
      </c>
      <c r="O196" s="80">
        <f>O186*I196</f>
        <v>29.187899999999999</v>
      </c>
      <c r="P196" s="80">
        <f>P186*I196</f>
        <v>71.901899999999998</v>
      </c>
      <c r="R196" s="80">
        <f>R186*J196</f>
        <v>72.184700000000007</v>
      </c>
      <c r="S196" s="80">
        <f>S186*J196</f>
        <v>3528.4739</v>
      </c>
      <c r="T196" s="80">
        <f>T186*J196</f>
        <v>476.70490000000001</v>
      </c>
      <c r="U196" s="80">
        <f>U186*J196</f>
        <v>717.55880000000002</v>
      </c>
      <c r="W196" s="97">
        <f>W186*K196</f>
        <v>-489220.69</v>
      </c>
      <c r="X196" s="97">
        <f>X186*K196</f>
        <v>-527663.22</v>
      </c>
      <c r="Y196" s="97">
        <f>Y186*K196</f>
        <v>-4229204.91</v>
      </c>
    </row>
    <row r="197" spans="1:25" ht="13.5" hidden="1" thickBot="1" x14ac:dyDescent="0.25">
      <c r="A197" s="228"/>
      <c r="B197" s="73"/>
      <c r="C197" s="229"/>
      <c r="D197" s="229"/>
      <c r="E197" s="229"/>
      <c r="F197" s="229"/>
      <c r="G197" s="229"/>
      <c r="H197" s="231"/>
      <c r="M197" s="80"/>
      <c r="O197" s="80"/>
      <c r="P197" s="80"/>
      <c r="R197" s="80"/>
      <c r="S197" s="80"/>
      <c r="T197" s="80"/>
      <c r="U197" s="80"/>
      <c r="W197" s="97"/>
      <c r="X197" s="97"/>
      <c r="Y197" s="97"/>
    </row>
    <row r="198" spans="1:25" ht="13.5" hidden="1" thickBot="1" x14ac:dyDescent="0.25">
      <c r="A198" s="225" t="s">
        <v>161</v>
      </c>
      <c r="B198" s="73"/>
      <c r="C198" s="229"/>
      <c r="D198" s="229"/>
      <c r="E198" s="229"/>
      <c r="F198" s="229"/>
      <c r="G198" s="229"/>
      <c r="H198" s="231"/>
      <c r="M198" s="80"/>
      <c r="O198" s="80"/>
      <c r="P198" s="80"/>
      <c r="R198" s="80"/>
      <c r="S198" s="80"/>
      <c r="T198" s="80"/>
      <c r="U198" s="80"/>
      <c r="W198" s="97"/>
      <c r="X198" s="97"/>
      <c r="Y198" s="97"/>
    </row>
    <row r="199" spans="1:25" ht="13.5" hidden="1" thickBot="1" x14ac:dyDescent="0.25">
      <c r="A199" s="228" t="s">
        <v>162</v>
      </c>
      <c r="B199" s="73" t="s">
        <v>158</v>
      </c>
      <c r="C199" s="229"/>
      <c r="D199" s="229"/>
      <c r="E199" s="229"/>
      <c r="F199" s="229"/>
      <c r="G199" s="229">
        <v>267.89999999999998</v>
      </c>
      <c r="H199" s="231"/>
      <c r="K199" s="101">
        <v>267.89999999999998</v>
      </c>
      <c r="M199" s="80"/>
      <c r="O199" s="80"/>
      <c r="P199" s="80"/>
      <c r="R199" s="80"/>
      <c r="S199" s="80"/>
      <c r="T199" s="80"/>
      <c r="U199" s="80"/>
      <c r="W199" s="104">
        <f>W184*K199</f>
        <v>37506</v>
      </c>
      <c r="X199" s="104">
        <f>X184*K199</f>
        <v>58134.299999999996</v>
      </c>
      <c r="Y199" s="104">
        <f>Y184*K199</f>
        <v>208158.3</v>
      </c>
    </row>
    <row r="200" spans="1:25" ht="13.5" hidden="1" thickBot="1" x14ac:dyDescent="0.25">
      <c r="A200" s="228" t="s">
        <v>163</v>
      </c>
      <c r="B200" s="73" t="s">
        <v>135</v>
      </c>
      <c r="C200" s="229">
        <v>0.84489999999999998</v>
      </c>
      <c r="D200" s="234"/>
      <c r="E200" s="234">
        <v>0.92589999999999995</v>
      </c>
      <c r="F200" s="229"/>
      <c r="G200" s="229"/>
      <c r="H200" s="231"/>
      <c r="I200" s="30">
        <v>0.84489999999999998</v>
      </c>
      <c r="J200" s="30">
        <v>0.92589999999999995</v>
      </c>
      <c r="L200" s="80">
        <f>L186*I200</f>
        <v>16.898</v>
      </c>
      <c r="M200" s="80">
        <f>M186*I200</f>
        <v>16.898</v>
      </c>
      <c r="O200" s="102">
        <f>O186*I200</f>
        <v>34.640900000000002</v>
      </c>
      <c r="P200" s="102">
        <f>P186*I200</f>
        <v>85.334900000000005</v>
      </c>
      <c r="R200" s="102">
        <f>R186*J200</f>
        <v>93.515899999999988</v>
      </c>
      <c r="S200" s="102">
        <f>S186*J200</f>
        <v>4571.1682999999994</v>
      </c>
      <c r="T200" s="102">
        <f>T186*J200</f>
        <v>617.57529999999997</v>
      </c>
      <c r="U200" s="102">
        <f>U186*J200</f>
        <v>929.60359999999991</v>
      </c>
      <c r="W200" s="103">
        <f>W186*K200</f>
        <v>0</v>
      </c>
      <c r="X200" s="103">
        <f>X186*K200</f>
        <v>0</v>
      </c>
      <c r="Y200" s="103">
        <f>Y186*K200</f>
        <v>0</v>
      </c>
    </row>
    <row r="201" spans="1:25" ht="13.5" hidden="1" thickBot="1" x14ac:dyDescent="0.25">
      <c r="A201" s="225" t="s">
        <v>164</v>
      </c>
      <c r="B201" s="73"/>
      <c r="C201" s="229"/>
      <c r="D201" s="234"/>
      <c r="E201" s="229"/>
      <c r="F201" s="229"/>
      <c r="G201" s="229"/>
      <c r="H201" s="231"/>
      <c r="M201" s="80"/>
      <c r="O201" s="102"/>
      <c r="P201" s="102"/>
      <c r="R201" s="102"/>
      <c r="S201" s="102"/>
      <c r="T201" s="102"/>
      <c r="U201" s="102"/>
      <c r="W201" s="103"/>
      <c r="X201" s="103"/>
      <c r="Y201" s="103"/>
    </row>
    <row r="202" spans="1:25" ht="13.5" hidden="1" thickBot="1" x14ac:dyDescent="0.25">
      <c r="A202" s="228" t="s">
        <v>165</v>
      </c>
      <c r="B202" s="73" t="s">
        <v>166</v>
      </c>
      <c r="C202" s="229"/>
      <c r="D202" s="234"/>
      <c r="E202" s="234">
        <v>40.15</v>
      </c>
      <c r="F202" s="229"/>
      <c r="G202" s="234">
        <v>40.15</v>
      </c>
      <c r="H202" s="231"/>
      <c r="J202" s="30">
        <v>40.15</v>
      </c>
      <c r="K202" s="30">
        <v>40.15</v>
      </c>
      <c r="M202" s="80"/>
      <c r="O202" s="102"/>
      <c r="P202" s="102"/>
      <c r="R202" s="103">
        <f>G202</f>
        <v>40.15</v>
      </c>
      <c r="S202" s="103">
        <f>G202</f>
        <v>40.15</v>
      </c>
      <c r="T202" s="103">
        <f>S202</f>
        <v>40.15</v>
      </c>
      <c r="U202" s="103">
        <f>S202</f>
        <v>40.15</v>
      </c>
      <c r="W202" s="103">
        <f>G202</f>
        <v>40.15</v>
      </c>
      <c r="X202" s="103">
        <f>W202</f>
        <v>40.15</v>
      </c>
      <c r="Y202" s="103">
        <f>W202</f>
        <v>40.15</v>
      </c>
    </row>
    <row r="203" spans="1:25" ht="13.5" hidden="1" thickBot="1" x14ac:dyDescent="0.25">
      <c r="A203" s="228" t="s">
        <v>167</v>
      </c>
      <c r="B203" s="73" t="s">
        <v>135</v>
      </c>
      <c r="C203" s="229">
        <v>0.7732</v>
      </c>
      <c r="D203" s="234"/>
      <c r="E203" s="229"/>
      <c r="F203" s="229"/>
      <c r="G203" s="229"/>
      <c r="H203" s="231"/>
      <c r="I203" s="30">
        <v>0.7732</v>
      </c>
      <c r="L203" s="80">
        <f>L186*I203</f>
        <v>15.464</v>
      </c>
      <c r="M203" s="80">
        <f>M186*I203</f>
        <v>15.464</v>
      </c>
      <c r="O203" s="102">
        <f>O186*I203</f>
        <v>31.7012</v>
      </c>
      <c r="P203" s="102">
        <f>P186*I203</f>
        <v>78.093199999999996</v>
      </c>
      <c r="R203" s="102">
        <f>R186*J203</f>
        <v>0</v>
      </c>
      <c r="S203" s="102">
        <f>S186*K203</f>
        <v>0</v>
      </c>
      <c r="T203" s="102">
        <f>T186*J203</f>
        <v>0</v>
      </c>
      <c r="U203" s="102">
        <f>U186*J203</f>
        <v>0</v>
      </c>
      <c r="W203" s="103">
        <f>W186*K203</f>
        <v>0</v>
      </c>
      <c r="X203" s="103">
        <f>X186*K203</f>
        <v>0</v>
      </c>
      <c r="Y203" s="103">
        <f>Y186*K203</f>
        <v>0</v>
      </c>
    </row>
    <row r="204" spans="1:25" ht="13.5" hidden="1" thickBot="1" x14ac:dyDescent="0.25">
      <c r="A204" s="225" t="s">
        <v>168</v>
      </c>
      <c r="B204" s="73"/>
      <c r="C204" s="73"/>
      <c r="D204" s="234"/>
      <c r="E204" s="73"/>
      <c r="F204" s="73"/>
      <c r="G204" s="73"/>
      <c r="H204" s="231"/>
      <c r="M204" s="80"/>
      <c r="O204" s="102"/>
      <c r="P204" s="102"/>
      <c r="R204" s="102"/>
      <c r="S204" s="102"/>
      <c r="T204" s="102"/>
      <c r="U204" s="102"/>
      <c r="W204" s="103"/>
      <c r="X204" s="103"/>
      <c r="Y204" s="103"/>
    </row>
    <row r="205" spans="1:25" ht="13.5" hidden="1" thickBot="1" x14ac:dyDescent="0.25">
      <c r="A205" s="228" t="s">
        <v>169</v>
      </c>
      <c r="B205" s="73" t="s">
        <v>170</v>
      </c>
      <c r="C205" s="229">
        <v>5</v>
      </c>
      <c r="D205" s="234"/>
      <c r="E205" s="234">
        <v>28.72</v>
      </c>
      <c r="F205" s="73"/>
      <c r="G205" s="234">
        <v>28.72</v>
      </c>
      <c r="H205" s="231"/>
      <c r="I205" s="101">
        <v>5</v>
      </c>
      <c r="J205" s="30">
        <v>28.72</v>
      </c>
      <c r="K205" s="30">
        <v>28.72</v>
      </c>
      <c r="L205" s="80">
        <v>5</v>
      </c>
      <c r="M205" s="80">
        <v>5</v>
      </c>
      <c r="O205" s="102">
        <v>5</v>
      </c>
      <c r="P205" s="102">
        <v>5</v>
      </c>
      <c r="R205" s="103">
        <f>G205</f>
        <v>28.72</v>
      </c>
      <c r="S205" s="103">
        <f>G205</f>
        <v>28.72</v>
      </c>
      <c r="T205" s="103">
        <f>S205</f>
        <v>28.72</v>
      </c>
      <c r="U205" s="103">
        <f>S205</f>
        <v>28.72</v>
      </c>
      <c r="W205" s="103">
        <f>G205</f>
        <v>28.72</v>
      </c>
      <c r="X205" s="103">
        <f>W205</f>
        <v>28.72</v>
      </c>
      <c r="Y205" s="103">
        <f>W205</f>
        <v>28.72</v>
      </c>
    </row>
    <row r="206" spans="1:25" ht="13.5" hidden="1" thickBot="1" x14ac:dyDescent="0.25">
      <c r="A206" s="228" t="s">
        <v>171</v>
      </c>
      <c r="B206" s="73" t="s">
        <v>135</v>
      </c>
      <c r="C206" s="229">
        <v>0.45689999999999997</v>
      </c>
      <c r="D206" s="229"/>
      <c r="E206" s="229"/>
      <c r="F206" s="229"/>
      <c r="G206" s="229"/>
      <c r="H206" s="231"/>
      <c r="I206" s="30">
        <v>0.45689999999999997</v>
      </c>
      <c r="L206" s="80">
        <f>L186*I206</f>
        <v>9.1379999999999999</v>
      </c>
      <c r="M206" s="80">
        <f>M186*I206</f>
        <v>9.1379999999999999</v>
      </c>
      <c r="O206" s="102">
        <f>O186*I206</f>
        <v>18.732899999999997</v>
      </c>
      <c r="P206" s="102">
        <f>P186*I206</f>
        <v>46.146899999999995</v>
      </c>
      <c r="R206" s="102"/>
      <c r="S206" s="102"/>
      <c r="T206" s="102"/>
      <c r="U206" s="102"/>
      <c r="W206" s="103"/>
      <c r="X206" s="103"/>
      <c r="Y206" s="103"/>
    </row>
    <row r="207" spans="1:25" ht="13.5" hidden="1" thickBot="1" x14ac:dyDescent="0.25">
      <c r="A207" s="225" t="s">
        <v>172</v>
      </c>
      <c r="B207" s="73" t="s">
        <v>135</v>
      </c>
      <c r="C207" s="229" t="e">
        <f>#REF!</f>
        <v>#REF!</v>
      </c>
      <c r="D207" s="234"/>
      <c r="E207" s="234" t="e">
        <f>C207</f>
        <v>#REF!</v>
      </c>
      <c r="F207" s="234"/>
      <c r="G207" s="234" t="e">
        <f>C207</f>
        <v>#REF!</v>
      </c>
      <c r="H207" s="231"/>
      <c r="I207" s="64">
        <v>9.1499999999999998E-2</v>
      </c>
      <c r="J207" s="64">
        <f>I207</f>
        <v>9.1499999999999998E-2</v>
      </c>
      <c r="K207" s="64">
        <f>I207</f>
        <v>9.1499999999999998E-2</v>
      </c>
      <c r="L207" s="80">
        <f>-(L187+L188+L195+L196+L200+L203+L205+L206)*25%</f>
        <v>-43.887500000000003</v>
      </c>
      <c r="M207" s="80">
        <f>-(M187+M188+M195+M196+M200+M203+M205+M206)*5%</f>
        <v>-8.7775000000000016</v>
      </c>
      <c r="O207" s="102">
        <f>O186*I207</f>
        <v>3.7515000000000001</v>
      </c>
      <c r="P207" s="102">
        <f>P186*I207</f>
        <v>9.2415000000000003</v>
      </c>
      <c r="R207" s="102">
        <f>R186*J207</f>
        <v>9.2415000000000003</v>
      </c>
      <c r="S207" s="102">
        <f>S186*J207</f>
        <v>451.7355</v>
      </c>
      <c r="T207" s="102">
        <f>T186*J207</f>
        <v>61.030499999999996</v>
      </c>
      <c r="U207" s="102">
        <f>U186*J207</f>
        <v>91.866</v>
      </c>
      <c r="W207" s="103">
        <f>W186*K207</f>
        <v>-59502.45</v>
      </c>
      <c r="X207" s="103">
        <f>X186*K207</f>
        <v>-64178.1</v>
      </c>
      <c r="Y207" s="103">
        <f>Y186*K207</f>
        <v>-514385.55</v>
      </c>
    </row>
    <row r="208" spans="1:25" ht="13.5" hidden="1" thickBot="1" x14ac:dyDescent="0.25">
      <c r="A208" s="225" t="s">
        <v>173</v>
      </c>
      <c r="B208" s="73"/>
      <c r="C208" s="229" t="e">
        <f>#REF!</f>
        <v>#REF!</v>
      </c>
      <c r="D208" s="234"/>
      <c r="E208" s="234" t="e">
        <f>C208</f>
        <v>#REF!</v>
      </c>
      <c r="F208" s="234"/>
      <c r="G208" s="234" t="e">
        <f>C208</f>
        <v>#REF!</v>
      </c>
      <c r="H208" s="231"/>
      <c r="I208" s="30">
        <v>1.4E-3</v>
      </c>
      <c r="J208" s="64">
        <f>I208</f>
        <v>1.4E-3</v>
      </c>
      <c r="K208" s="64">
        <f>I208</f>
        <v>1.4E-3</v>
      </c>
      <c r="L208" s="80">
        <f>-(L187+L188+L195+L196+L200+L203+L205+L206+L207)*5%</f>
        <v>-6.5831250000000017</v>
      </c>
      <c r="M208" s="107">
        <f>M186*I208</f>
        <v>2.8000000000000001E-2</v>
      </c>
      <c r="O208" s="80">
        <f>-(O187+O188+O195+O196+O200+O203+O205+O206+O207)*5%</f>
        <v>-17.918949999999999</v>
      </c>
      <c r="P208" s="107">
        <f>P186*I208</f>
        <v>0.1414</v>
      </c>
      <c r="R208" s="107">
        <f>R186*K208</f>
        <v>0.1414</v>
      </c>
      <c r="S208" s="107">
        <f>S186*J208</f>
        <v>6.9117999999999995</v>
      </c>
      <c r="T208" s="107">
        <f>T186*J208</f>
        <v>0.93379999999999996</v>
      </c>
      <c r="U208" s="107">
        <f>U186*J208</f>
        <v>1.4056</v>
      </c>
      <c r="W208" s="104">
        <f>W186*K208</f>
        <v>-910.42</v>
      </c>
      <c r="X208" s="104">
        <f>X186*K208</f>
        <v>-981.96</v>
      </c>
      <c r="Y208" s="104">
        <f>Y186*K208</f>
        <v>-7870.38</v>
      </c>
    </row>
    <row r="209" spans="1:25" ht="13.5" hidden="1" thickBot="1" x14ac:dyDescent="0.25">
      <c r="A209" s="225" t="s">
        <v>174</v>
      </c>
      <c r="B209" s="73"/>
      <c r="C209" s="229"/>
      <c r="D209" s="229"/>
      <c r="E209" s="229"/>
      <c r="F209" s="229"/>
      <c r="G209" s="229"/>
      <c r="H209" s="231"/>
      <c r="M209" s="80"/>
      <c r="O209" s="80"/>
      <c r="P209" s="80"/>
      <c r="R209" s="80"/>
      <c r="S209" s="80"/>
      <c r="T209" s="80"/>
      <c r="U209" s="80"/>
      <c r="W209" s="97"/>
      <c r="X209" s="97"/>
      <c r="Y209" s="97"/>
    </row>
    <row r="210" spans="1:25" ht="13.5" hidden="1" thickBot="1" x14ac:dyDescent="0.25">
      <c r="A210" s="228" t="s">
        <v>175</v>
      </c>
      <c r="B210" s="73" t="s">
        <v>135</v>
      </c>
      <c r="C210" s="229">
        <f>0.1163</f>
        <v>0.1163</v>
      </c>
      <c r="D210" s="229"/>
      <c r="E210" s="229">
        <f>C210</f>
        <v>0.1163</v>
      </c>
      <c r="F210" s="229"/>
      <c r="G210" s="229">
        <f>C210</f>
        <v>0.1163</v>
      </c>
      <c r="H210" s="235"/>
      <c r="I210" s="30">
        <v>0.1163</v>
      </c>
      <c r="J210" s="64">
        <f>I210</f>
        <v>0.1163</v>
      </c>
      <c r="K210" s="64">
        <f>I210</f>
        <v>0.1163</v>
      </c>
      <c r="L210" s="80">
        <f>L186*I210</f>
        <v>2.3260000000000001</v>
      </c>
      <c r="M210" s="80">
        <f>M186*I210</f>
        <v>2.3260000000000001</v>
      </c>
      <c r="O210" s="80">
        <f>O186*I210</f>
        <v>4.7683</v>
      </c>
      <c r="P210" s="80">
        <f>P186*I210</f>
        <v>11.7463</v>
      </c>
      <c r="R210" s="80">
        <f>R186*J210</f>
        <v>11.7463</v>
      </c>
      <c r="S210" s="80">
        <f>S186*J210</f>
        <v>574.17309999999998</v>
      </c>
      <c r="T210" s="80">
        <f>T186*J210</f>
        <v>77.572100000000006</v>
      </c>
      <c r="U210" s="80">
        <f>U186*J210</f>
        <v>116.76520000000001</v>
      </c>
      <c r="W210" s="97">
        <f>W186*K210</f>
        <v>-75629.89</v>
      </c>
      <c r="X210" s="97">
        <f>X186*K210</f>
        <v>-81572.820000000007</v>
      </c>
      <c r="Y210" s="97">
        <f>Y186*K210</f>
        <v>-653803.71</v>
      </c>
    </row>
    <row r="211" spans="1:25" ht="13.5" hidden="1" thickBot="1" x14ac:dyDescent="0.25">
      <c r="A211" s="228" t="s">
        <v>176</v>
      </c>
      <c r="B211" s="73" t="s">
        <v>135</v>
      </c>
      <c r="C211" s="229">
        <v>2.5000000000000001E-3</v>
      </c>
      <c r="D211" s="229"/>
      <c r="E211" s="229">
        <v>2.5000000000000001E-3</v>
      </c>
      <c r="F211" s="229"/>
      <c r="G211" s="234">
        <f>C211</f>
        <v>2.5000000000000001E-3</v>
      </c>
      <c r="H211" s="231"/>
      <c r="I211" s="30">
        <v>2.5000000000000001E-3</v>
      </c>
      <c r="J211" s="64">
        <f>I211</f>
        <v>2.5000000000000001E-3</v>
      </c>
      <c r="K211" s="64">
        <f>I211</f>
        <v>2.5000000000000001E-3</v>
      </c>
      <c r="L211" s="80">
        <f>$L$141*I211</f>
        <v>1.7500000000000002E-2</v>
      </c>
      <c r="M211" s="80">
        <f>M186*I211</f>
        <v>0.05</v>
      </c>
      <c r="O211" s="80">
        <f>O186*I211</f>
        <v>0.10250000000000001</v>
      </c>
      <c r="P211" s="80">
        <f>P186*I211</f>
        <v>0.2525</v>
      </c>
      <c r="R211" s="80">
        <f>R186*J211</f>
        <v>0.2525</v>
      </c>
      <c r="S211" s="80">
        <f>S186*J211</f>
        <v>12.342500000000001</v>
      </c>
      <c r="T211" s="80">
        <f>T186*J211</f>
        <v>1.6675</v>
      </c>
      <c r="U211" s="80">
        <f>U186*J211</f>
        <v>2.5100000000000002</v>
      </c>
      <c r="W211" s="97">
        <f>W186*K211</f>
        <v>-1625.75</v>
      </c>
      <c r="X211" s="97">
        <f>X186*K211</f>
        <v>-1753.5</v>
      </c>
      <c r="Y211" s="97">
        <f>Y186*K211</f>
        <v>-14054.25</v>
      </c>
    </row>
    <row r="212" spans="1:25" ht="13.5" hidden="1" thickBot="1" x14ac:dyDescent="0.25">
      <c r="A212" s="228" t="s">
        <v>200</v>
      </c>
      <c r="B212" s="73" t="s">
        <v>135</v>
      </c>
      <c r="C212" s="229">
        <f>0.1938</f>
        <v>0.1938</v>
      </c>
      <c r="D212" s="229"/>
      <c r="E212" s="229">
        <f>C212</f>
        <v>0.1938</v>
      </c>
      <c r="F212" s="229"/>
      <c r="G212" s="234">
        <f>C212</f>
        <v>0.1938</v>
      </c>
      <c r="H212" s="235" t="s">
        <v>201</v>
      </c>
      <c r="I212" s="30">
        <v>0.1938</v>
      </c>
      <c r="J212" s="64">
        <f>I212</f>
        <v>0.1938</v>
      </c>
      <c r="K212" s="64">
        <f>I212</f>
        <v>0.1938</v>
      </c>
      <c r="L212" s="80">
        <f>$L$141*I212</f>
        <v>1.3566</v>
      </c>
      <c r="M212" s="80">
        <f>M186*I212</f>
        <v>3.8759999999999999</v>
      </c>
      <c r="O212" s="80">
        <f>O186*I212</f>
        <v>7.9458000000000002</v>
      </c>
      <c r="P212" s="80">
        <f>P186*I212</f>
        <v>19.573799999999999</v>
      </c>
      <c r="R212" s="80">
        <f>R186*J212</f>
        <v>19.573799999999999</v>
      </c>
      <c r="S212" s="80">
        <f>S186*J212</f>
        <v>956.79060000000004</v>
      </c>
      <c r="T212" s="80">
        <f>T186*J212</f>
        <v>129.2646</v>
      </c>
      <c r="U212" s="80">
        <f>U186*J212</f>
        <v>194.5752</v>
      </c>
      <c r="W212" s="97">
        <f>W186*K212</f>
        <v>-126028.14</v>
      </c>
      <c r="X212" s="97">
        <f>X186*K212</f>
        <v>-135931.32</v>
      </c>
      <c r="Y212" s="97">
        <f>Y186*K212</f>
        <v>-1089485.46</v>
      </c>
    </row>
    <row r="213" spans="1:25" ht="13.5" hidden="1" thickBot="1" x14ac:dyDescent="0.25">
      <c r="A213" s="236" t="s">
        <v>177</v>
      </c>
      <c r="B213" s="237" t="s">
        <v>135</v>
      </c>
      <c r="C213" s="238">
        <v>0.40039999999999998</v>
      </c>
      <c r="D213" s="238"/>
      <c r="E213" s="238">
        <v>0.40039999999999998</v>
      </c>
      <c r="F213" s="238"/>
      <c r="G213" s="239">
        <f>C213</f>
        <v>0.40039999999999998</v>
      </c>
      <c r="H213" s="240"/>
      <c r="I213" s="30">
        <v>0.40039999999999998</v>
      </c>
      <c r="J213" s="64">
        <f>I213</f>
        <v>0.40039999999999998</v>
      </c>
      <c r="K213" s="64">
        <f>I213</f>
        <v>0.40039999999999998</v>
      </c>
      <c r="L213" s="80">
        <f>L186*I213</f>
        <v>8.0079999999999991</v>
      </c>
      <c r="M213" s="80">
        <f>M186*I213</f>
        <v>8.0079999999999991</v>
      </c>
      <c r="O213" s="80">
        <f>O186*I213</f>
        <v>16.416399999999999</v>
      </c>
      <c r="P213" s="80">
        <f>P186*I213</f>
        <v>40.440399999999997</v>
      </c>
      <c r="R213" s="80">
        <f>R186*J213</f>
        <v>40.440399999999997</v>
      </c>
      <c r="S213" s="80">
        <f>S186*J213</f>
        <v>1976.7747999999999</v>
      </c>
      <c r="T213" s="80">
        <f>T186*J213</f>
        <v>267.0668</v>
      </c>
      <c r="U213" s="80">
        <f>U186*J213</f>
        <v>402.0016</v>
      </c>
      <c r="W213" s="97">
        <f>W186*K213</f>
        <v>-260380.12</v>
      </c>
      <c r="X213" s="97">
        <f>X186*K213</f>
        <v>-280840.56</v>
      </c>
      <c r="Y213" s="97">
        <f>Y186*K213</f>
        <v>-2250928.6799999997</v>
      </c>
    </row>
    <row r="214" spans="1:25" ht="13.5" hidden="1" thickBot="1" x14ac:dyDescent="0.25">
      <c r="A214" s="241" t="s">
        <v>178</v>
      </c>
      <c r="B214" s="242"/>
      <c r="C214" s="243" t="e">
        <f>C191+C192+C195+C196+C200+C203+C206+C207+C208+C210+C211+C212+C213</f>
        <v>#REF!</v>
      </c>
      <c r="D214" s="244"/>
      <c r="E214" s="243" t="e">
        <f>E191+E192+E195+E196+E200+E203+E206+E207+E208+E210+E211+E212+E213</f>
        <v>#REF!</v>
      </c>
      <c r="F214" s="244"/>
      <c r="G214" s="243" t="e">
        <f>G191+G192+G195+G196+G200+G203+G206+G207+G208+G210+G211+G212+G213</f>
        <v>#REF!</v>
      </c>
      <c r="H214" s="243"/>
      <c r="I214" s="243">
        <v>9.1323000000000008</v>
      </c>
      <c r="J214" s="243">
        <v>8.5822000000000003</v>
      </c>
      <c r="K214" s="243">
        <v>5.9946000000000002</v>
      </c>
      <c r="L214" s="115">
        <f>SUM(L187:L213)</f>
        <v>132.763475</v>
      </c>
      <c r="M214" s="116">
        <f>SUM(M187:M213)</f>
        <v>177.03650000000002</v>
      </c>
      <c r="O214" s="117">
        <f>SUM(O187:O213)</f>
        <v>361.44385000000005</v>
      </c>
      <c r="P214" s="117">
        <f>SUM(P187:P213)</f>
        <v>927.35220000000004</v>
      </c>
      <c r="R214" s="117">
        <f>SUM(R187:R213)</f>
        <v>898.0598</v>
      </c>
      <c r="S214" s="117">
        <f>SUM(S187:S213)</f>
        <v>40600.652600000009</v>
      </c>
      <c r="T214" s="117">
        <f>SUM(T187:T213)</f>
        <v>5544.806599999999</v>
      </c>
      <c r="U214" s="117">
        <f>SUM(U187:U213)</f>
        <v>8311.5092000000004</v>
      </c>
      <c r="W214" s="118">
        <f>SUM(W187:W213)</f>
        <v>-4196682.0380000006</v>
      </c>
      <c r="X214" s="118">
        <f>SUM(X187:X213)</f>
        <v>-4491682.6823999994</v>
      </c>
      <c r="Y214" s="118">
        <f>SUM(Y187:Y213)</f>
        <v>-36508216.014400005</v>
      </c>
    </row>
    <row r="215" spans="1:25" ht="13.5" hidden="1" thickBot="1" x14ac:dyDescent="0.25">
      <c r="A215" s="241" t="s">
        <v>179</v>
      </c>
      <c r="B215" s="242" t="s">
        <v>166</v>
      </c>
      <c r="C215" s="245">
        <f>C205</f>
        <v>5</v>
      </c>
      <c r="D215" s="245"/>
      <c r="E215" s="245">
        <f>E202+E205</f>
        <v>68.87</v>
      </c>
      <c r="F215" s="245"/>
      <c r="G215" s="245">
        <f>G202+G205</f>
        <v>68.87</v>
      </c>
      <c r="H215" s="243"/>
      <c r="I215" s="120">
        <f>I187+I189+I190+I195+I196+I200+I203+I206</f>
        <v>8.5097999999999985</v>
      </c>
      <c r="J215" s="64" t="e">
        <f>E214-J214</f>
        <v>#REF!</v>
      </c>
      <c r="K215" s="64" t="e">
        <f>G214-K214</f>
        <v>#REF!</v>
      </c>
      <c r="M215" s="30" t="s">
        <v>180</v>
      </c>
      <c r="O215" s="121">
        <f>O186*I217</f>
        <v>4.8461999999999996</v>
      </c>
      <c r="P215" s="121">
        <f>P186*I217</f>
        <v>11.9382</v>
      </c>
      <c r="R215" s="121">
        <f>R186*J217</f>
        <v>11.9382</v>
      </c>
      <c r="S215" s="121">
        <f>S186*K217</f>
        <v>583.55340000000001</v>
      </c>
      <c r="T215" s="121">
        <f>T186*J217</f>
        <v>78.839399999999998</v>
      </c>
      <c r="U215" s="121">
        <f>U186*J217</f>
        <v>118.6728</v>
      </c>
      <c r="W215" s="122">
        <f>W186*K217</f>
        <v>-76865.460000000006</v>
      </c>
      <c r="X215" s="122">
        <f>X186*K217</f>
        <v>-82905.48</v>
      </c>
      <c r="Y215" s="122">
        <f>Y186*K217</f>
        <v>-664484.93999999994</v>
      </c>
    </row>
    <row r="216" spans="1:25" ht="14.25" hidden="1" thickTop="1" thickBot="1" x14ac:dyDescent="0.25">
      <c r="A216" s="241" t="s">
        <v>181</v>
      </c>
      <c r="B216" s="246" t="s">
        <v>158</v>
      </c>
      <c r="C216" s="243"/>
      <c r="D216" s="243"/>
      <c r="E216" s="243"/>
      <c r="F216" s="243"/>
      <c r="G216" s="243" t="e">
        <f>G194+G199</f>
        <v>#REF!</v>
      </c>
      <c r="H216" s="243"/>
      <c r="I216" s="30" t="s">
        <v>182</v>
      </c>
      <c r="J216" s="30" t="s">
        <v>182</v>
      </c>
      <c r="K216" s="30" t="s">
        <v>182</v>
      </c>
      <c r="M216" s="30" t="s">
        <v>183</v>
      </c>
      <c r="O216" s="121">
        <f>O186*I218</f>
        <v>9.0200000000000002E-2</v>
      </c>
      <c r="P216" s="121">
        <f>P186*I218</f>
        <v>0.22220000000000001</v>
      </c>
      <c r="R216" s="121">
        <f>R186*J218</f>
        <v>0.22220000000000001</v>
      </c>
      <c r="S216" s="121">
        <f>S186*K218</f>
        <v>10.861400000000001</v>
      </c>
      <c r="T216" s="121">
        <f>T186*J218</f>
        <v>1.4674</v>
      </c>
      <c r="U216" s="121">
        <f>U186*J218</f>
        <v>2.2088000000000001</v>
      </c>
      <c r="W216" s="122">
        <f>W186*K218</f>
        <v>-1430.66</v>
      </c>
      <c r="X216" s="122">
        <f>X186*K218</f>
        <v>-1543.0800000000002</v>
      </c>
      <c r="Y216" s="122">
        <f>Y186*K218</f>
        <v>-12367.740000000002</v>
      </c>
    </row>
    <row r="217" spans="1:25" ht="14.25" hidden="1" thickTop="1" thickBot="1" x14ac:dyDescent="0.25">
      <c r="A217" s="73"/>
      <c r="B217" s="73"/>
      <c r="C217" s="73"/>
      <c r="D217" s="1000" t="s">
        <v>184</v>
      </c>
      <c r="E217" s="1000"/>
      <c r="F217" s="1001"/>
      <c r="G217" s="1002" t="s">
        <v>185</v>
      </c>
      <c r="H217" s="1000"/>
      <c r="I217" s="30">
        <v>0.1182</v>
      </c>
      <c r="J217" s="64">
        <f>I217</f>
        <v>0.1182</v>
      </c>
      <c r="K217" s="64">
        <f>I217</f>
        <v>0.1182</v>
      </c>
      <c r="M217" s="30" t="s">
        <v>186</v>
      </c>
      <c r="O217" s="121">
        <f>O186*I219</f>
        <v>0.6109</v>
      </c>
      <c r="P217" s="121">
        <f>P186*I219</f>
        <v>1.5048999999999999</v>
      </c>
      <c r="R217" s="121">
        <f>R186*J219</f>
        <v>1.5048999999999999</v>
      </c>
      <c r="S217" s="121">
        <f>S186*J219</f>
        <v>73.561300000000003</v>
      </c>
      <c r="T217" s="121">
        <f>T186*J219</f>
        <v>9.9382999999999999</v>
      </c>
      <c r="U217" s="121">
        <f>U186*J219</f>
        <v>14.9596</v>
      </c>
      <c r="W217" s="122">
        <v>0</v>
      </c>
      <c r="X217" s="122">
        <v>0</v>
      </c>
      <c r="Y217" s="122">
        <v>0</v>
      </c>
    </row>
    <row r="218" spans="1:25" ht="13.5" hidden="1" thickBot="1" x14ac:dyDescent="0.25">
      <c r="A218" s="73"/>
      <c r="B218" s="73"/>
      <c r="C218" s="73"/>
      <c r="D218" s="247" t="s">
        <v>187</v>
      </c>
      <c r="E218" s="248" t="s">
        <v>188</v>
      </c>
      <c r="F218" s="249" t="s">
        <v>189</v>
      </c>
      <c r="G218" s="1003" t="s">
        <v>190</v>
      </c>
      <c r="H218" s="1004"/>
      <c r="I218" s="64">
        <v>2.2000000000000001E-3</v>
      </c>
      <c r="J218" s="64">
        <f>I218</f>
        <v>2.2000000000000001E-3</v>
      </c>
      <c r="K218" s="64">
        <f>I218</f>
        <v>2.2000000000000001E-3</v>
      </c>
      <c r="M218" s="30" t="s">
        <v>191</v>
      </c>
      <c r="O218" s="121">
        <f>(SUM(O192,O200:O207))*12%</f>
        <v>10.269276000000001</v>
      </c>
      <c r="P218" s="121">
        <f>(SUM(P192,P200:P207))*12%</f>
        <v>24.419435999999997</v>
      </c>
      <c r="R218" s="121">
        <f>(SUM(R192,R200:R207))*12%</f>
        <v>20.595288</v>
      </c>
      <c r="S218" s="121">
        <f>(SUM(S192,S200:S207))*12%</f>
        <v>611.01285599999983</v>
      </c>
      <c r="T218" s="121">
        <f>(SUM(T192,T200:T207))*12%</f>
        <v>89.697095999999988</v>
      </c>
      <c r="U218" s="121">
        <f>(SUM(U192,U200:U207))*12%</f>
        <v>130.84075200000001</v>
      </c>
      <c r="W218" s="122">
        <f>(SUM(W192,W199:W207))*12%</f>
        <v>-2631.3095999999991</v>
      </c>
      <c r="X218" s="122">
        <f>(SUM(X192,X199:X207))*12%</f>
        <v>-716.99160000000006</v>
      </c>
      <c r="Y218" s="122">
        <f>(SUM(Y192,Y199:Y207))*12%</f>
        <v>-36739.005599999997</v>
      </c>
    </row>
    <row r="219" spans="1:25" ht="13.5" hidden="1" thickBot="1" x14ac:dyDescent="0.25">
      <c r="A219" s="73"/>
      <c r="B219" s="73"/>
      <c r="C219" s="73"/>
      <c r="D219" s="250" t="e">
        <f>#REF!</f>
        <v>#REF!</v>
      </c>
      <c r="E219" s="250" t="e">
        <f>#REF!</f>
        <v>#REF!</v>
      </c>
      <c r="F219" s="250" t="e">
        <f>#REF!</f>
        <v>#REF!</v>
      </c>
      <c r="G219" s="251">
        <v>0.12</v>
      </c>
      <c r="H219" s="252"/>
      <c r="I219" s="64">
        <v>1.49E-2</v>
      </c>
      <c r="J219" s="64">
        <f>I219</f>
        <v>1.49E-2</v>
      </c>
      <c r="K219" s="64">
        <f>I219</f>
        <v>1.49E-2</v>
      </c>
      <c r="O219" s="116">
        <f>SUM(O214:O218)</f>
        <v>377.26042600000005</v>
      </c>
      <c r="P219" s="116">
        <f>SUM(P214:P218)</f>
        <v>965.43693600000017</v>
      </c>
      <c r="R219" s="116">
        <f>SUM(R214:R218)</f>
        <v>932.32038800000009</v>
      </c>
      <c r="S219" s="116">
        <f>SUM(S214:S218)</f>
        <v>41879.64155600001</v>
      </c>
      <c r="T219" s="116">
        <f>SUM(T214:T218)</f>
        <v>5724.7487959999989</v>
      </c>
      <c r="U219" s="116">
        <f>SUM(U214:U218)</f>
        <v>8578.1911520000012</v>
      </c>
      <c r="W219" s="116">
        <f>SUM(W214:W218)</f>
        <v>-4277609.467600001</v>
      </c>
      <c r="X219" s="116">
        <f>SUM(X214:X218)</f>
        <v>-4576848.2340000002</v>
      </c>
      <c r="Y219" s="116">
        <f>SUM(Y214:Y218)</f>
        <v>-37221807.700000003</v>
      </c>
    </row>
    <row r="220" spans="1:25" ht="13.5" hidden="1" thickBot="1" x14ac:dyDescent="0.25">
      <c r="A220" s="72" t="s">
        <v>192</v>
      </c>
      <c r="B220" s="72"/>
      <c r="C220" s="253" t="s">
        <v>193</v>
      </c>
      <c r="D220" s="73"/>
      <c r="E220" s="73"/>
      <c r="F220" s="73"/>
      <c r="G220" s="73"/>
      <c r="H220" s="73"/>
      <c r="J220" s="97"/>
      <c r="P220" s="97"/>
    </row>
    <row r="221" spans="1:25" ht="13.5" hidden="1" thickBot="1" x14ac:dyDescent="0.25">
      <c r="A221" s="72"/>
      <c r="B221" s="73"/>
      <c r="C221" s="72"/>
      <c r="D221" s="73"/>
      <c r="E221" s="73"/>
      <c r="F221" s="73"/>
      <c r="G221" s="73"/>
      <c r="H221" s="73"/>
      <c r="P221" s="97"/>
      <c r="R221" s="122"/>
    </row>
    <row r="222" spans="1:25" ht="13.5" hidden="1" thickBot="1" x14ac:dyDescent="0.25">
      <c r="A222" s="254" t="s">
        <v>194</v>
      </c>
      <c r="B222" s="221"/>
      <c r="C222" s="254" t="s">
        <v>195</v>
      </c>
      <c r="D222" s="73"/>
      <c r="E222" s="73"/>
      <c r="F222" s="73"/>
      <c r="G222" s="73"/>
      <c r="H222" s="73"/>
    </row>
    <row r="223" spans="1:25" ht="13.5" hidden="1" thickBot="1" x14ac:dyDescent="0.25">
      <c r="A223" s="72" t="s">
        <v>196</v>
      </c>
      <c r="B223" s="73"/>
      <c r="C223" s="72" t="s">
        <v>197</v>
      </c>
      <c r="D223" s="73"/>
      <c r="E223" s="73"/>
      <c r="F223" s="73"/>
      <c r="G223" s="73"/>
      <c r="H223" s="73"/>
    </row>
    <row r="224" spans="1:25" ht="13.5" hidden="1" thickBot="1" x14ac:dyDescent="0.25">
      <c r="A224" s="75" t="s">
        <v>64</v>
      </c>
      <c r="B224" s="75"/>
      <c r="C224" s="75"/>
      <c r="D224" s="75"/>
      <c r="E224" s="75"/>
      <c r="F224" s="75"/>
      <c r="G224" s="75"/>
      <c r="H224" s="75"/>
    </row>
    <row r="225" spans="1:25" ht="13.5" hidden="1" thickBot="1" x14ac:dyDescent="0.25">
      <c r="A225" s="75" t="s">
        <v>0</v>
      </c>
      <c r="B225" s="75"/>
      <c r="C225" s="75"/>
      <c r="D225" s="75"/>
      <c r="E225" s="75"/>
      <c r="F225" s="75"/>
      <c r="G225" s="75"/>
      <c r="H225" s="75"/>
    </row>
    <row r="226" spans="1:25" ht="13.5" hidden="1" thickBot="1" x14ac:dyDescent="0.25">
      <c r="A226" s="75"/>
      <c r="B226" s="75"/>
      <c r="C226" s="75"/>
      <c r="D226" s="75"/>
      <c r="E226" s="75"/>
      <c r="F226" s="75"/>
      <c r="G226" s="75"/>
      <c r="H226" s="75"/>
    </row>
    <row r="227" spans="1:25" ht="13.5" hidden="1" thickBot="1" x14ac:dyDescent="0.25">
      <c r="A227" s="255" t="s">
        <v>60</v>
      </c>
      <c r="B227" s="75"/>
      <c r="C227" s="75"/>
      <c r="D227" s="75"/>
      <c r="E227" s="75"/>
      <c r="F227" s="75"/>
      <c r="G227" s="75"/>
      <c r="H227" s="75"/>
      <c r="W227" s="34" t="s">
        <v>143</v>
      </c>
      <c r="X227" s="34" t="s">
        <v>144</v>
      </c>
      <c r="Y227" s="34" t="s">
        <v>1</v>
      </c>
    </row>
    <row r="228" spans="1:25" ht="13.5" hidden="1" thickBot="1" x14ac:dyDescent="0.25">
      <c r="A228" s="256" t="s">
        <v>59</v>
      </c>
      <c r="B228" s="75"/>
      <c r="C228" s="75"/>
      <c r="D228" s="75"/>
      <c r="E228" s="75"/>
      <c r="F228" s="75"/>
      <c r="G228" s="75"/>
      <c r="H228" s="75"/>
      <c r="W228" s="83" t="s">
        <v>145</v>
      </c>
      <c r="X228" s="83" t="s">
        <v>145</v>
      </c>
      <c r="Y228" s="83" t="s">
        <v>145</v>
      </c>
    </row>
    <row r="229" spans="1:25" ht="13.5" hidden="1" thickBot="1" x14ac:dyDescent="0.25">
      <c r="A229" s="256"/>
      <c r="B229" s="75"/>
      <c r="C229" s="75"/>
      <c r="D229" s="75"/>
      <c r="E229" s="75"/>
      <c r="F229" s="75"/>
      <c r="G229" s="75"/>
      <c r="H229" s="75"/>
      <c r="L229" s="257" t="s">
        <v>146</v>
      </c>
      <c r="M229" s="75" t="s">
        <v>6</v>
      </c>
      <c r="N229" s="75"/>
      <c r="O229" s="257" t="s">
        <v>146</v>
      </c>
      <c r="P229" s="75" t="s">
        <v>6</v>
      </c>
      <c r="R229" s="85" t="s">
        <v>147</v>
      </c>
      <c r="S229" s="85" t="s">
        <v>147</v>
      </c>
      <c r="T229" s="85" t="s">
        <v>147</v>
      </c>
      <c r="U229" s="85" t="s">
        <v>147</v>
      </c>
      <c r="W229" s="86">
        <f>0.2*700</f>
        <v>140</v>
      </c>
      <c r="X229" s="86">
        <f>0.31*700</f>
        <v>217</v>
      </c>
      <c r="Y229" s="86">
        <f>0.37*2100</f>
        <v>777</v>
      </c>
    </row>
    <row r="230" spans="1:25" ht="13.5" hidden="1" thickBot="1" x14ac:dyDescent="0.25">
      <c r="A230" s="1005"/>
      <c r="B230" s="1006"/>
      <c r="C230" s="258" t="s">
        <v>6</v>
      </c>
      <c r="D230" s="1007" t="s">
        <v>47</v>
      </c>
      <c r="E230" s="1008"/>
      <c r="F230" s="1009"/>
      <c r="G230" s="1007" t="s">
        <v>13</v>
      </c>
      <c r="H230" s="1009"/>
      <c r="I230" s="259" t="s">
        <v>6</v>
      </c>
      <c r="J230" s="258" t="s">
        <v>47</v>
      </c>
      <c r="K230" s="258" t="s">
        <v>13</v>
      </c>
      <c r="L230" s="257" t="s">
        <v>130</v>
      </c>
      <c r="M230" s="260" t="s">
        <v>148</v>
      </c>
      <c r="N230" s="75"/>
      <c r="O230" s="257" t="s">
        <v>130</v>
      </c>
      <c r="P230" s="257" t="s">
        <v>130</v>
      </c>
      <c r="R230" s="80" t="s">
        <v>130</v>
      </c>
      <c r="S230" s="80" t="s">
        <v>130</v>
      </c>
      <c r="T230" s="80" t="s">
        <v>130</v>
      </c>
      <c r="U230" s="80" t="s">
        <v>130</v>
      </c>
      <c r="W230" s="89" t="s">
        <v>130</v>
      </c>
      <c r="X230" s="89" t="s">
        <v>130</v>
      </c>
      <c r="Y230" s="89" t="s">
        <v>130</v>
      </c>
    </row>
    <row r="231" spans="1:25" ht="13.5" hidden="1" thickBot="1" x14ac:dyDescent="0.25">
      <c r="A231" s="261" t="s">
        <v>149</v>
      </c>
      <c r="B231" s="75"/>
      <c r="C231" s="262"/>
      <c r="D231" s="262"/>
      <c r="E231" s="262"/>
      <c r="F231" s="262"/>
      <c r="G231" s="262"/>
      <c r="H231" s="263"/>
      <c r="J231" s="93"/>
      <c r="L231" s="93">
        <v>18</v>
      </c>
      <c r="M231" s="93">
        <v>11</v>
      </c>
      <c r="O231" s="93">
        <v>91</v>
      </c>
      <c r="P231" s="93">
        <v>102</v>
      </c>
      <c r="R231" s="93">
        <v>102</v>
      </c>
      <c r="S231" s="93">
        <v>4937</v>
      </c>
      <c r="T231" s="93">
        <v>667</v>
      </c>
      <c r="U231" s="93">
        <v>1004</v>
      </c>
      <c r="W231" s="94">
        <f>(0-929)*700</f>
        <v>-650300</v>
      </c>
      <c r="X231" s="94">
        <f>(0-1002)*700</f>
        <v>-701400</v>
      </c>
      <c r="Y231" s="94">
        <f>(0-2677)*2100</f>
        <v>-5621700</v>
      </c>
    </row>
    <row r="232" spans="1:25" ht="13.5" hidden="1" thickBot="1" x14ac:dyDescent="0.25">
      <c r="A232" s="264" t="s">
        <v>150</v>
      </c>
      <c r="B232" s="75" t="s">
        <v>135</v>
      </c>
      <c r="C232" s="265" t="e">
        <f>C236-C233-C234-C235</f>
        <v>#REF!</v>
      </c>
      <c r="D232" s="265"/>
      <c r="E232" s="265" t="e">
        <f>E236-E233-E234-E235</f>
        <v>#REF!</v>
      </c>
      <c r="F232" s="265"/>
      <c r="G232" s="265" t="e">
        <f>G236-G233-G234-G235</f>
        <v>#REF!</v>
      </c>
      <c r="H232" s="266"/>
      <c r="I232" s="30">
        <v>3.2416999999999998</v>
      </c>
      <c r="J232" s="30">
        <v>3.2416999999999998</v>
      </c>
      <c r="K232" s="30">
        <v>3.2416999999999998</v>
      </c>
      <c r="L232" s="80">
        <f>L231*(I232+I234+I235)</f>
        <v>69.258600000000001</v>
      </c>
      <c r="M232" s="80">
        <f>M231*(I232+I234+I235)</f>
        <v>42.3247</v>
      </c>
      <c r="O232" s="80">
        <f>O231*(I232+I234+I235)</f>
        <v>350.14070000000004</v>
      </c>
      <c r="P232" s="80">
        <f>P231*(I232+I234+I235)</f>
        <v>392.46539999999999</v>
      </c>
      <c r="R232" s="80">
        <f>R231*(J232+J234+J235)</f>
        <v>392.46539999999999</v>
      </c>
      <c r="S232" s="80">
        <f>S231*(J232+J234+J235)</f>
        <v>18996.0949</v>
      </c>
      <c r="T232" s="80">
        <f>T231*(J232+J234+J235)</f>
        <v>2566.4159</v>
      </c>
      <c r="U232" s="80">
        <f>U231*(J232+J234+J235)</f>
        <v>3863.0907999999999</v>
      </c>
      <c r="W232" s="97">
        <f>W231*(K232+K234+K235)</f>
        <v>-2502159.31</v>
      </c>
      <c r="X232" s="97">
        <f>X231*(K232+K234+K235)</f>
        <v>-2698776.7800000003</v>
      </c>
      <c r="Y232" s="97">
        <f>Y231*(K232+K234+K235)</f>
        <v>-21630615.09</v>
      </c>
    </row>
    <row r="233" spans="1:25" ht="13.5" hidden="1" thickBot="1" x14ac:dyDescent="0.25">
      <c r="A233" s="264" t="s">
        <v>151</v>
      </c>
      <c r="B233" s="75" t="s">
        <v>135</v>
      </c>
      <c r="C233" s="265">
        <v>1.77E-2</v>
      </c>
      <c r="D233" s="265"/>
      <c r="E233" s="265">
        <v>1.77E-2</v>
      </c>
      <c r="F233" s="265"/>
      <c r="G233" s="265">
        <v>1.77E-2</v>
      </c>
      <c r="H233" s="267"/>
      <c r="I233" s="30">
        <v>1.77E-2</v>
      </c>
      <c r="J233" s="30">
        <v>1.77E-2</v>
      </c>
      <c r="K233" s="30">
        <v>1.77E-2</v>
      </c>
      <c r="L233" s="80">
        <f>L231*I233</f>
        <v>0.31859999999999999</v>
      </c>
      <c r="M233" s="80">
        <f>M231*I233</f>
        <v>0.19470000000000001</v>
      </c>
      <c r="O233" s="80">
        <f>O231*I233</f>
        <v>1.6107</v>
      </c>
      <c r="P233" s="80">
        <f>P231*I233</f>
        <v>1.8054000000000001</v>
      </c>
      <c r="R233" s="80">
        <f>R231*J233</f>
        <v>1.8054000000000001</v>
      </c>
      <c r="S233" s="80">
        <f>S231*J233</f>
        <v>87.384900000000002</v>
      </c>
      <c r="T233" s="80">
        <f>T231*J233</f>
        <v>11.805900000000001</v>
      </c>
      <c r="U233" s="80">
        <f>U231*J233</f>
        <v>17.770800000000001</v>
      </c>
      <c r="W233" s="97">
        <f>W231*K233</f>
        <v>-11510.31</v>
      </c>
      <c r="X233" s="97">
        <f>X231*K233</f>
        <v>-12414.78</v>
      </c>
      <c r="Y233" s="97">
        <f>Y231*K233</f>
        <v>-99504.09</v>
      </c>
    </row>
    <row r="234" spans="1:25" ht="13.5" hidden="1" thickBot="1" x14ac:dyDescent="0.25">
      <c r="A234" s="264" t="s">
        <v>152</v>
      </c>
      <c r="B234" s="75" t="s">
        <v>135</v>
      </c>
      <c r="C234" s="265">
        <v>0.48470000000000002</v>
      </c>
      <c r="D234" s="265"/>
      <c r="E234" s="265">
        <v>0.48470000000000002</v>
      </c>
      <c r="F234" s="265"/>
      <c r="G234" s="265">
        <v>0.48470000000000002</v>
      </c>
      <c r="H234" s="267"/>
      <c r="I234" s="30">
        <v>0.48470000000000002</v>
      </c>
      <c r="J234" s="30">
        <v>0.48470000000000002</v>
      </c>
      <c r="K234" s="30">
        <v>0.48470000000000002</v>
      </c>
      <c r="M234" s="80"/>
      <c r="O234" s="80"/>
      <c r="P234" s="80"/>
      <c r="R234" s="80"/>
      <c r="S234" s="80"/>
      <c r="T234" s="80"/>
      <c r="U234" s="80"/>
      <c r="W234" s="97"/>
      <c r="X234" s="97"/>
      <c r="Y234" s="97"/>
    </row>
    <row r="235" spans="1:25" ht="13.5" hidden="1" thickBot="1" x14ac:dyDescent="0.25">
      <c r="A235" s="264" t="s">
        <v>153</v>
      </c>
      <c r="B235" s="75" t="s">
        <v>135</v>
      </c>
      <c r="C235" s="265">
        <v>0.12130000000000001</v>
      </c>
      <c r="D235" s="265"/>
      <c r="E235" s="265">
        <v>0.12130000000000001</v>
      </c>
      <c r="F235" s="265"/>
      <c r="G235" s="265">
        <v>0.12130000000000001</v>
      </c>
      <c r="H235" s="267"/>
      <c r="I235" s="30">
        <v>0.12130000000000001</v>
      </c>
      <c r="J235" s="30">
        <v>0.12130000000000001</v>
      </c>
      <c r="K235" s="30">
        <v>0.12130000000000001</v>
      </c>
      <c r="M235" s="80"/>
      <c r="O235" s="80"/>
      <c r="P235" s="80"/>
      <c r="R235" s="80"/>
      <c r="S235" s="80"/>
      <c r="T235" s="80"/>
      <c r="U235" s="80"/>
      <c r="W235" s="97"/>
      <c r="X235" s="97"/>
      <c r="Y235" s="97"/>
    </row>
    <row r="236" spans="1:25" ht="13.5" hidden="1" thickBot="1" x14ac:dyDescent="0.25">
      <c r="A236" s="264" t="s">
        <v>154</v>
      </c>
      <c r="B236" s="75"/>
      <c r="C236" s="268" t="e">
        <f>#REF!</f>
        <v>#REF!</v>
      </c>
      <c r="D236" s="268"/>
      <c r="E236" s="268" t="e">
        <f>C236</f>
        <v>#REF!</v>
      </c>
      <c r="F236" s="268"/>
      <c r="G236" s="268" t="e">
        <f>C236</f>
        <v>#REF!</v>
      </c>
      <c r="H236" s="269"/>
      <c r="M236" s="80"/>
      <c r="O236" s="80"/>
      <c r="P236" s="80"/>
      <c r="R236" s="80"/>
      <c r="S236" s="80"/>
      <c r="T236" s="80"/>
      <c r="U236" s="80"/>
      <c r="W236" s="97"/>
      <c r="X236" s="97"/>
      <c r="Y236" s="97"/>
    </row>
    <row r="237" spans="1:25" ht="13.5" hidden="1" thickBot="1" x14ac:dyDescent="0.25">
      <c r="A237" s="261" t="s">
        <v>155</v>
      </c>
      <c r="B237" s="75" t="s">
        <v>135</v>
      </c>
      <c r="C237" s="265" t="e">
        <f>(-548379.95-51831.78)/#REF!</f>
        <v>#REF!</v>
      </c>
      <c r="D237" s="265"/>
      <c r="E237" s="265"/>
      <c r="F237" s="265"/>
      <c r="G237" s="265"/>
      <c r="H237" s="266"/>
      <c r="I237" s="64">
        <v>-0.22570000000000001</v>
      </c>
      <c r="J237" s="101"/>
      <c r="K237" s="101"/>
      <c r="L237" s="80">
        <f>L231*I237</f>
        <v>-4.0625999999999998</v>
      </c>
      <c r="M237" s="80">
        <f>M231*I237</f>
        <v>-2.4827000000000004</v>
      </c>
      <c r="O237" s="102">
        <f>O231*I237</f>
        <v>-20.538700000000002</v>
      </c>
      <c r="P237" s="102">
        <f>P231*I237</f>
        <v>-23.0214</v>
      </c>
      <c r="R237" s="102">
        <f>R231*J237</f>
        <v>0</v>
      </c>
      <c r="S237" s="102">
        <f>S231*K237</f>
        <v>0</v>
      </c>
      <c r="T237" s="102">
        <f>T231*J237</f>
        <v>0</v>
      </c>
      <c r="U237" s="102">
        <f>U231*J237</f>
        <v>0</v>
      </c>
      <c r="W237" s="103">
        <f>W231*K237</f>
        <v>0</v>
      </c>
      <c r="X237" s="103">
        <f>X231*K237</f>
        <v>0</v>
      </c>
      <c r="Y237" s="103">
        <f>Y231*K237</f>
        <v>0</v>
      </c>
    </row>
    <row r="238" spans="1:25" ht="13.5" hidden="1" thickBot="1" x14ac:dyDescent="0.25">
      <c r="A238" s="261" t="s">
        <v>156</v>
      </c>
      <c r="B238" s="75"/>
      <c r="C238" s="265"/>
      <c r="D238" s="265"/>
      <c r="E238" s="265"/>
      <c r="F238" s="265"/>
      <c r="G238" s="265"/>
      <c r="H238" s="266"/>
      <c r="M238" s="80"/>
      <c r="O238" s="80"/>
      <c r="P238" s="80"/>
      <c r="R238" s="80"/>
      <c r="S238" s="80"/>
      <c r="T238" s="80"/>
      <c r="U238" s="80"/>
      <c r="W238" s="97"/>
      <c r="X238" s="97"/>
      <c r="Y238" s="97"/>
    </row>
    <row r="239" spans="1:25" ht="13.5" hidden="1" thickBot="1" x14ac:dyDescent="0.25">
      <c r="A239" s="264" t="s">
        <v>157</v>
      </c>
      <c r="B239" s="75" t="s">
        <v>158</v>
      </c>
      <c r="C239" s="265"/>
      <c r="D239" s="265"/>
      <c r="E239" s="265"/>
      <c r="F239" s="265"/>
      <c r="G239" s="265" t="e">
        <f>#REF!</f>
        <v>#REF!</v>
      </c>
      <c r="H239" s="267"/>
      <c r="K239" s="64">
        <v>164.1748</v>
      </c>
      <c r="M239" s="80"/>
      <c r="O239" s="80"/>
      <c r="P239" s="80"/>
      <c r="R239" s="80"/>
      <c r="S239" s="80"/>
      <c r="T239" s="80"/>
      <c r="U239" s="80"/>
      <c r="W239" s="104">
        <f>W229*K239</f>
        <v>22984.472000000002</v>
      </c>
      <c r="X239" s="97">
        <f>X229*K239</f>
        <v>35625.931600000004</v>
      </c>
      <c r="Y239" s="97">
        <f>Y229*K239</f>
        <v>127563.8196</v>
      </c>
    </row>
    <row r="240" spans="1:25" ht="13.5" hidden="1" thickBot="1" x14ac:dyDescent="0.25">
      <c r="A240" s="264" t="s">
        <v>159</v>
      </c>
      <c r="B240" s="75" t="s">
        <v>135</v>
      </c>
      <c r="C240" s="265" t="e">
        <f>#REF!</f>
        <v>#REF!</v>
      </c>
      <c r="D240" s="265"/>
      <c r="E240" s="265" t="e">
        <f>#REF!</f>
        <v>#REF!</v>
      </c>
      <c r="F240" s="265"/>
      <c r="G240" s="265"/>
      <c r="H240" s="267"/>
      <c r="I240" s="30">
        <v>0.72289999999999999</v>
      </c>
      <c r="J240" s="64">
        <v>0.73150000000000004</v>
      </c>
      <c r="L240" s="80">
        <f>L231*I240</f>
        <v>13.0122</v>
      </c>
      <c r="M240" s="80">
        <f>M231*I240</f>
        <v>7.9519000000000002</v>
      </c>
      <c r="O240" s="80">
        <f>O231*I240</f>
        <v>65.783900000000003</v>
      </c>
      <c r="P240" s="80">
        <f>P231*I240</f>
        <v>73.735799999999998</v>
      </c>
      <c r="R240" s="80">
        <f>R231*J240</f>
        <v>74.613</v>
      </c>
      <c r="S240" s="80">
        <f>S231*J240</f>
        <v>3611.4155000000001</v>
      </c>
      <c r="T240" s="80">
        <f>T231*J240</f>
        <v>487.91050000000001</v>
      </c>
      <c r="U240" s="80">
        <f>U231*J240</f>
        <v>734.42600000000004</v>
      </c>
      <c r="W240" s="97">
        <f>W231*K240</f>
        <v>0</v>
      </c>
      <c r="X240" s="97">
        <f>X231*K240</f>
        <v>0</v>
      </c>
      <c r="Y240" s="97">
        <f>Y231*K240</f>
        <v>0</v>
      </c>
    </row>
    <row r="241" spans="1:25" ht="13.5" hidden="1" thickBot="1" x14ac:dyDescent="0.25">
      <c r="A241" s="261" t="s">
        <v>160</v>
      </c>
      <c r="B241" s="75" t="s">
        <v>135</v>
      </c>
      <c r="C241" s="265" t="e">
        <f>#REF!</f>
        <v>#REF!</v>
      </c>
      <c r="D241" s="265"/>
      <c r="E241" s="265" t="e">
        <f>C241</f>
        <v>#REF!</v>
      </c>
      <c r="F241" s="265"/>
      <c r="G241" s="265" t="e">
        <f>C241</f>
        <v>#REF!</v>
      </c>
      <c r="H241" s="267"/>
      <c r="I241" s="30">
        <v>0.58289999999999997</v>
      </c>
      <c r="J241" s="30">
        <v>0.58289999999999997</v>
      </c>
      <c r="K241" s="30">
        <v>0.58289999999999997</v>
      </c>
      <c r="L241" s="80">
        <f>L231*I241</f>
        <v>10.4922</v>
      </c>
      <c r="M241" s="80">
        <f>M231*I241</f>
        <v>6.4118999999999993</v>
      </c>
      <c r="O241" s="80">
        <f>O231*I241</f>
        <v>53.043900000000001</v>
      </c>
      <c r="P241" s="80">
        <f>P231*I241</f>
        <v>59.455799999999996</v>
      </c>
      <c r="R241" s="80">
        <f>R231*J241</f>
        <v>59.455799999999996</v>
      </c>
      <c r="S241" s="80">
        <f>S231*J241</f>
        <v>2877.7772999999997</v>
      </c>
      <c r="T241" s="80">
        <f>T231*J241</f>
        <v>388.79429999999996</v>
      </c>
      <c r="U241" s="80">
        <f>U231*J241</f>
        <v>585.23159999999996</v>
      </c>
      <c r="W241" s="97">
        <f>W231*K241</f>
        <v>-379059.87</v>
      </c>
      <c r="X241" s="97">
        <f>X231*K241</f>
        <v>-408846.06</v>
      </c>
      <c r="Y241" s="97">
        <f>Y231*K241</f>
        <v>-3276888.9299999997</v>
      </c>
    </row>
    <row r="242" spans="1:25" ht="13.5" hidden="1" thickBot="1" x14ac:dyDescent="0.25">
      <c r="A242" s="264"/>
      <c r="B242" s="75"/>
      <c r="C242" s="265"/>
      <c r="D242" s="265"/>
      <c r="E242" s="265"/>
      <c r="F242" s="265"/>
      <c r="G242" s="265"/>
      <c r="H242" s="267"/>
      <c r="M242" s="80"/>
      <c r="O242" s="80"/>
      <c r="P242" s="80"/>
      <c r="R242" s="80"/>
      <c r="S242" s="80"/>
      <c r="T242" s="80"/>
      <c r="U242" s="80"/>
      <c r="W242" s="97"/>
      <c r="X242" s="97"/>
      <c r="Y242" s="97"/>
    </row>
    <row r="243" spans="1:25" ht="13.5" hidden="1" thickBot="1" x14ac:dyDescent="0.25">
      <c r="A243" s="261" t="s">
        <v>161</v>
      </c>
      <c r="B243" s="75"/>
      <c r="C243" s="265"/>
      <c r="D243" s="265"/>
      <c r="E243" s="265"/>
      <c r="F243" s="265"/>
      <c r="G243" s="265"/>
      <c r="H243" s="267"/>
      <c r="M243" s="80"/>
      <c r="O243" s="80"/>
      <c r="P243" s="80"/>
      <c r="R243" s="80"/>
      <c r="S243" s="80"/>
      <c r="T243" s="80"/>
      <c r="U243" s="80"/>
      <c r="W243" s="97"/>
      <c r="X243" s="97"/>
      <c r="Y243" s="97"/>
    </row>
    <row r="244" spans="1:25" ht="13.5" hidden="1" thickBot="1" x14ac:dyDescent="0.25">
      <c r="A244" s="264" t="s">
        <v>162</v>
      </c>
      <c r="B244" s="75" t="s">
        <v>158</v>
      </c>
      <c r="C244" s="265"/>
      <c r="D244" s="265"/>
      <c r="E244" s="265"/>
      <c r="F244" s="265"/>
      <c r="G244" s="265">
        <v>267.89999999999998</v>
      </c>
      <c r="H244" s="267"/>
      <c r="K244" s="101">
        <v>267.89999999999998</v>
      </c>
      <c r="M244" s="80"/>
      <c r="O244" s="80"/>
      <c r="P244" s="80"/>
      <c r="R244" s="80"/>
      <c r="S244" s="80"/>
      <c r="T244" s="80"/>
      <c r="U244" s="80"/>
      <c r="W244" s="104">
        <f>W229*K244</f>
        <v>37506</v>
      </c>
      <c r="X244" s="104">
        <f>X229*K244</f>
        <v>58134.299999999996</v>
      </c>
      <c r="Y244" s="104">
        <f>Y229*K244</f>
        <v>208158.3</v>
      </c>
    </row>
    <row r="245" spans="1:25" ht="13.5" hidden="1" thickBot="1" x14ac:dyDescent="0.25">
      <c r="A245" s="264" t="s">
        <v>163</v>
      </c>
      <c r="B245" s="75" t="s">
        <v>135</v>
      </c>
      <c r="C245" s="265">
        <v>0.84489999999999998</v>
      </c>
      <c r="D245" s="270"/>
      <c r="E245" s="270">
        <v>0.92589999999999995</v>
      </c>
      <c r="F245" s="265"/>
      <c r="G245" s="265"/>
      <c r="H245" s="267"/>
      <c r="I245" s="30">
        <v>0.84489999999999998</v>
      </c>
      <c r="J245" s="30">
        <v>0.92589999999999995</v>
      </c>
      <c r="L245" s="80">
        <f>L231*I245</f>
        <v>15.2082</v>
      </c>
      <c r="M245" s="80">
        <f>M231*I245</f>
        <v>9.2939000000000007</v>
      </c>
      <c r="O245" s="102">
        <f>O231*I245</f>
        <v>76.885899999999992</v>
      </c>
      <c r="P245" s="102">
        <f>P231*I245</f>
        <v>86.1798</v>
      </c>
      <c r="R245" s="102">
        <f>R231*J245</f>
        <v>94.441800000000001</v>
      </c>
      <c r="S245" s="102">
        <f>S231*J245</f>
        <v>4571.1682999999994</v>
      </c>
      <c r="T245" s="102">
        <f>T231*J245</f>
        <v>617.57529999999997</v>
      </c>
      <c r="U245" s="102">
        <f>U231*J245</f>
        <v>929.60359999999991</v>
      </c>
      <c r="W245" s="103">
        <f>W231*K245</f>
        <v>0</v>
      </c>
      <c r="X245" s="103">
        <f>X231*K245</f>
        <v>0</v>
      </c>
      <c r="Y245" s="103">
        <f>Y231*K245</f>
        <v>0</v>
      </c>
    </row>
    <row r="246" spans="1:25" ht="13.5" hidden="1" thickBot="1" x14ac:dyDescent="0.25">
      <c r="A246" s="261" t="s">
        <v>164</v>
      </c>
      <c r="B246" s="75"/>
      <c r="C246" s="265"/>
      <c r="D246" s="270"/>
      <c r="E246" s="265"/>
      <c r="F246" s="265"/>
      <c r="G246" s="265"/>
      <c r="H246" s="267"/>
      <c r="M246" s="80"/>
      <c r="O246" s="102"/>
      <c r="P246" s="102"/>
      <c r="R246" s="102"/>
      <c r="S246" s="102"/>
      <c r="T246" s="102"/>
      <c r="U246" s="102"/>
      <c r="W246" s="103"/>
      <c r="X246" s="103"/>
      <c r="Y246" s="103"/>
    </row>
    <row r="247" spans="1:25" ht="13.5" hidden="1" thickBot="1" x14ac:dyDescent="0.25">
      <c r="A247" s="264" t="s">
        <v>165</v>
      </c>
      <c r="B247" s="75" t="s">
        <v>166</v>
      </c>
      <c r="C247" s="265"/>
      <c r="D247" s="270"/>
      <c r="E247" s="270">
        <v>40.15</v>
      </c>
      <c r="F247" s="265"/>
      <c r="G247" s="270">
        <v>40.15</v>
      </c>
      <c r="H247" s="267"/>
      <c r="J247" s="30">
        <v>40.15</v>
      </c>
      <c r="K247" s="30">
        <v>40.15</v>
      </c>
      <c r="M247" s="80"/>
      <c r="O247" s="102"/>
      <c r="P247" s="102"/>
      <c r="R247" s="103">
        <f>G247</f>
        <v>40.15</v>
      </c>
      <c r="S247" s="103">
        <f>G247</f>
        <v>40.15</v>
      </c>
      <c r="T247" s="103">
        <f>S247</f>
        <v>40.15</v>
      </c>
      <c r="U247" s="103">
        <f>S247</f>
        <v>40.15</v>
      </c>
      <c r="W247" s="103">
        <f>G247</f>
        <v>40.15</v>
      </c>
      <c r="X247" s="103">
        <f>W247</f>
        <v>40.15</v>
      </c>
      <c r="Y247" s="103">
        <f>W247</f>
        <v>40.15</v>
      </c>
    </row>
    <row r="248" spans="1:25" ht="13.5" hidden="1" thickBot="1" x14ac:dyDescent="0.25">
      <c r="A248" s="264" t="s">
        <v>167</v>
      </c>
      <c r="B248" s="75" t="s">
        <v>135</v>
      </c>
      <c r="C248" s="265">
        <v>0.7732</v>
      </c>
      <c r="D248" s="270"/>
      <c r="E248" s="265"/>
      <c r="F248" s="265"/>
      <c r="G248" s="265"/>
      <c r="H248" s="267"/>
      <c r="I248" s="30">
        <v>0.7732</v>
      </c>
      <c r="L248" s="80">
        <f>L231*I248</f>
        <v>13.9176</v>
      </c>
      <c r="M248" s="80">
        <f>M231*I248</f>
        <v>8.5052000000000003</v>
      </c>
      <c r="O248" s="102">
        <f>O231*I248</f>
        <v>70.361199999999997</v>
      </c>
      <c r="P248" s="102">
        <f>P231*I248</f>
        <v>78.866399999999999</v>
      </c>
      <c r="R248" s="102">
        <f>R231*J248</f>
        <v>0</v>
      </c>
      <c r="S248" s="102">
        <f>S231*K248</f>
        <v>0</v>
      </c>
      <c r="T248" s="102">
        <f>T231*J248</f>
        <v>0</v>
      </c>
      <c r="U248" s="102">
        <f>U231*J248</f>
        <v>0</v>
      </c>
      <c r="W248" s="103">
        <f>W231*K248</f>
        <v>0</v>
      </c>
      <c r="X248" s="103">
        <f>X231*K248</f>
        <v>0</v>
      </c>
      <c r="Y248" s="103">
        <f>Y231*K248</f>
        <v>0</v>
      </c>
    </row>
    <row r="249" spans="1:25" ht="13.5" hidden="1" thickBot="1" x14ac:dyDescent="0.25">
      <c r="A249" s="261" t="s">
        <v>168</v>
      </c>
      <c r="B249" s="75"/>
      <c r="C249" s="75"/>
      <c r="D249" s="270"/>
      <c r="E249" s="75"/>
      <c r="F249" s="75"/>
      <c r="G249" s="75"/>
      <c r="H249" s="267"/>
      <c r="M249" s="80"/>
      <c r="O249" s="102"/>
      <c r="P249" s="102"/>
      <c r="R249" s="102"/>
      <c r="S249" s="102"/>
      <c r="T249" s="102"/>
      <c r="U249" s="102"/>
      <c r="W249" s="103"/>
      <c r="X249" s="103"/>
      <c r="Y249" s="103"/>
    </row>
    <row r="250" spans="1:25" ht="13.5" hidden="1" thickBot="1" x14ac:dyDescent="0.25">
      <c r="A250" s="264" t="s">
        <v>169</v>
      </c>
      <c r="B250" s="75" t="s">
        <v>170</v>
      </c>
      <c r="C250" s="265">
        <v>5</v>
      </c>
      <c r="D250" s="270"/>
      <c r="E250" s="270">
        <v>28.72</v>
      </c>
      <c r="F250" s="75"/>
      <c r="G250" s="270">
        <v>28.72</v>
      </c>
      <c r="H250" s="267"/>
      <c r="I250" s="101">
        <v>5</v>
      </c>
      <c r="J250" s="30">
        <v>28.72</v>
      </c>
      <c r="K250" s="30">
        <v>28.72</v>
      </c>
      <c r="L250" s="80">
        <v>5</v>
      </c>
      <c r="M250" s="80">
        <v>5</v>
      </c>
      <c r="O250" s="102">
        <v>5</v>
      </c>
      <c r="P250" s="102">
        <v>5</v>
      </c>
      <c r="R250" s="103">
        <f>G250</f>
        <v>28.72</v>
      </c>
      <c r="S250" s="103">
        <f>G250</f>
        <v>28.72</v>
      </c>
      <c r="T250" s="103">
        <f>S250</f>
        <v>28.72</v>
      </c>
      <c r="U250" s="103">
        <f>S250</f>
        <v>28.72</v>
      </c>
      <c r="W250" s="103">
        <f>G250</f>
        <v>28.72</v>
      </c>
      <c r="X250" s="103">
        <f>W250</f>
        <v>28.72</v>
      </c>
      <c r="Y250" s="103">
        <f>W250</f>
        <v>28.72</v>
      </c>
    </row>
    <row r="251" spans="1:25" ht="13.5" hidden="1" thickBot="1" x14ac:dyDescent="0.25">
      <c r="A251" s="264" t="s">
        <v>171</v>
      </c>
      <c r="B251" s="75" t="s">
        <v>135</v>
      </c>
      <c r="C251" s="265">
        <v>0.45689999999999997</v>
      </c>
      <c r="D251" s="265"/>
      <c r="E251" s="265"/>
      <c r="F251" s="265"/>
      <c r="G251" s="265"/>
      <c r="H251" s="267"/>
      <c r="I251" s="30">
        <v>0.45689999999999997</v>
      </c>
      <c r="L251" s="80">
        <f>L231*I251</f>
        <v>8.2241999999999997</v>
      </c>
      <c r="M251" s="80">
        <f>M231*I251</f>
        <v>5.0259</v>
      </c>
      <c r="O251" s="102">
        <f>O231*I251</f>
        <v>41.5779</v>
      </c>
      <c r="P251" s="102">
        <f>P231*I251</f>
        <v>46.6038</v>
      </c>
      <c r="R251" s="102"/>
      <c r="S251" s="102"/>
      <c r="T251" s="102"/>
      <c r="U251" s="102"/>
      <c r="W251" s="103"/>
      <c r="X251" s="103"/>
      <c r="Y251" s="103"/>
    </row>
    <row r="252" spans="1:25" ht="13.5" hidden="1" thickBot="1" x14ac:dyDescent="0.25">
      <c r="A252" s="261" t="s">
        <v>172</v>
      </c>
      <c r="B252" s="75" t="s">
        <v>135</v>
      </c>
      <c r="C252" s="265" t="e">
        <f>#REF!</f>
        <v>#REF!</v>
      </c>
      <c r="D252" s="270"/>
      <c r="E252" s="270" t="e">
        <f>C252</f>
        <v>#REF!</v>
      </c>
      <c r="F252" s="270"/>
      <c r="G252" s="270" t="e">
        <f>C252</f>
        <v>#REF!</v>
      </c>
      <c r="H252" s="267"/>
      <c r="I252" s="64">
        <v>7.8299999999999995E-2</v>
      </c>
      <c r="J252" s="64">
        <f>I252</f>
        <v>7.8299999999999995E-2</v>
      </c>
      <c r="K252" s="64">
        <f>I252</f>
        <v>7.8299999999999995E-2</v>
      </c>
      <c r="L252" s="80">
        <f>-(L232+L233+L240+L241+L245+L248+L250+L251)*5%</f>
        <v>-6.7715800000000002</v>
      </c>
      <c r="M252" s="80">
        <f>-(M232+M233+M240+M241+M245+M248+M250+M251)*25%</f>
        <v>-21.177050000000001</v>
      </c>
      <c r="O252" s="102">
        <f>O231*I252</f>
        <v>7.1252999999999993</v>
      </c>
      <c r="P252" s="102">
        <f>P231*I252</f>
        <v>7.9865999999999993</v>
      </c>
      <c r="R252" s="102">
        <f>R231*J252</f>
        <v>7.9865999999999993</v>
      </c>
      <c r="S252" s="102">
        <f>S231*J252</f>
        <v>386.56709999999998</v>
      </c>
      <c r="T252" s="102">
        <f>T231*J252</f>
        <v>52.226099999999995</v>
      </c>
      <c r="U252" s="102">
        <f>U231*J252</f>
        <v>78.613199999999992</v>
      </c>
      <c r="W252" s="103">
        <f>W231*K252</f>
        <v>-50918.49</v>
      </c>
      <c r="X252" s="103">
        <f>X231*K252</f>
        <v>-54919.619999999995</v>
      </c>
      <c r="Y252" s="103">
        <f>Y231*K252</f>
        <v>-440179.11</v>
      </c>
    </row>
    <row r="253" spans="1:25" ht="13.5" hidden="1" thickBot="1" x14ac:dyDescent="0.25">
      <c r="A253" s="261" t="s">
        <v>173</v>
      </c>
      <c r="B253" s="75"/>
      <c r="C253" s="265" t="e">
        <f>#REF!</f>
        <v>#REF!</v>
      </c>
      <c r="D253" s="270"/>
      <c r="E253" s="270" t="e">
        <f>C253</f>
        <v>#REF!</v>
      </c>
      <c r="F253" s="270"/>
      <c r="G253" s="270" t="e">
        <f>C253</f>
        <v>#REF!</v>
      </c>
      <c r="H253" s="267"/>
      <c r="I253" s="30">
        <v>1.2999999999999999E-3</v>
      </c>
      <c r="J253" s="64">
        <f>I253</f>
        <v>1.2999999999999999E-3</v>
      </c>
      <c r="K253" s="64">
        <f>I253</f>
        <v>1.2999999999999999E-3</v>
      </c>
      <c r="L253" s="106">
        <f>L231*I253</f>
        <v>2.3399999999999997E-2</v>
      </c>
      <c r="M253" s="106">
        <f>M231*I253</f>
        <v>1.43E-2</v>
      </c>
      <c r="O253" s="80">
        <f>-(O232+O233+O240+O241+O245+O248+O250+O251+O252)*5%</f>
        <v>-33.576475000000009</v>
      </c>
      <c r="P253" s="107">
        <f>P231*I253</f>
        <v>0.1326</v>
      </c>
      <c r="R253" s="107">
        <f>R231*K253</f>
        <v>0.1326</v>
      </c>
      <c r="S253" s="107">
        <f>S231*J253</f>
        <v>6.4180999999999999</v>
      </c>
      <c r="T253" s="107">
        <f>T231*J253</f>
        <v>0.86709999999999998</v>
      </c>
      <c r="U253" s="107">
        <f>U231*J253</f>
        <v>1.3051999999999999</v>
      </c>
      <c r="W253" s="104">
        <f>W231*K253</f>
        <v>-845.39</v>
      </c>
      <c r="X253" s="104">
        <f>X231*K253</f>
        <v>-911.81999999999994</v>
      </c>
      <c r="Y253" s="104">
        <f>Y231*K253</f>
        <v>-7308.21</v>
      </c>
    </row>
    <row r="254" spans="1:25" ht="13.5" hidden="1" thickBot="1" x14ac:dyDescent="0.25">
      <c r="A254" s="261" t="s">
        <v>174</v>
      </c>
      <c r="B254" s="75"/>
      <c r="C254" s="265"/>
      <c r="D254" s="265"/>
      <c r="E254" s="265"/>
      <c r="F254" s="265"/>
      <c r="G254" s="265"/>
      <c r="H254" s="267"/>
      <c r="M254" s="80"/>
      <c r="O254" s="80"/>
      <c r="P254" s="80"/>
      <c r="R254" s="80"/>
      <c r="S254" s="80"/>
      <c r="T254" s="80"/>
      <c r="U254" s="80"/>
      <c r="W254" s="97"/>
      <c r="X254" s="97"/>
      <c r="Y254" s="97"/>
    </row>
    <row r="255" spans="1:25" ht="13.5" hidden="1" thickBot="1" x14ac:dyDescent="0.25">
      <c r="A255" s="264" t="s">
        <v>175</v>
      </c>
      <c r="B255" s="75" t="s">
        <v>135</v>
      </c>
      <c r="C255" s="265">
        <f>0.1163</f>
        <v>0.1163</v>
      </c>
      <c r="D255" s="265"/>
      <c r="E255" s="265">
        <f>C255</f>
        <v>0.1163</v>
      </c>
      <c r="F255" s="265"/>
      <c r="G255" s="265">
        <f>C255</f>
        <v>0.1163</v>
      </c>
      <c r="H255" s="271"/>
      <c r="I255" s="30">
        <v>0.1163</v>
      </c>
      <c r="J255" s="64">
        <f>I255</f>
        <v>0.1163</v>
      </c>
      <c r="K255" s="64">
        <f>I255</f>
        <v>0.1163</v>
      </c>
      <c r="L255" s="80">
        <f>L231*I255</f>
        <v>2.0933999999999999</v>
      </c>
      <c r="M255" s="80">
        <f>M231*I255</f>
        <v>1.2793000000000001</v>
      </c>
      <c r="O255" s="80">
        <f>O231*I255</f>
        <v>10.583299999999999</v>
      </c>
      <c r="P255" s="80">
        <f>P231*I255</f>
        <v>11.8626</v>
      </c>
      <c r="R255" s="80">
        <f>R231*J255</f>
        <v>11.8626</v>
      </c>
      <c r="S255" s="80">
        <f>S231*J255</f>
        <v>574.17309999999998</v>
      </c>
      <c r="T255" s="80">
        <f>T231*J255</f>
        <v>77.572100000000006</v>
      </c>
      <c r="U255" s="80">
        <f>U231*J255</f>
        <v>116.76520000000001</v>
      </c>
      <c r="W255" s="97">
        <f>W231*K255</f>
        <v>-75629.89</v>
      </c>
      <c r="X255" s="97">
        <f>X231*K255</f>
        <v>-81572.820000000007</v>
      </c>
      <c r="Y255" s="97">
        <f>Y231*K255</f>
        <v>-653803.71</v>
      </c>
    </row>
    <row r="256" spans="1:25" ht="13.5" hidden="1" thickBot="1" x14ac:dyDescent="0.25">
      <c r="A256" s="264" t="s">
        <v>176</v>
      </c>
      <c r="B256" s="75" t="s">
        <v>135</v>
      </c>
      <c r="C256" s="265">
        <v>2.5000000000000001E-3</v>
      </c>
      <c r="D256" s="265"/>
      <c r="E256" s="265">
        <v>2.5000000000000001E-3</v>
      </c>
      <c r="F256" s="265"/>
      <c r="G256" s="270">
        <f>C256</f>
        <v>2.5000000000000001E-3</v>
      </c>
      <c r="H256" s="267"/>
      <c r="I256" s="30">
        <v>2.5000000000000001E-3</v>
      </c>
      <c r="J256" s="64">
        <f>I256</f>
        <v>2.5000000000000001E-3</v>
      </c>
      <c r="K256" s="64">
        <f>I256</f>
        <v>2.5000000000000001E-3</v>
      </c>
      <c r="L256" s="80">
        <f>$L$141*I256</f>
        <v>1.7500000000000002E-2</v>
      </c>
      <c r="M256" s="80">
        <f>M231*I256</f>
        <v>2.75E-2</v>
      </c>
      <c r="O256" s="80">
        <f>O231*I256</f>
        <v>0.22750000000000001</v>
      </c>
      <c r="P256" s="80">
        <f>P231*I256</f>
        <v>0.255</v>
      </c>
      <c r="R256" s="80">
        <f>R231*J256</f>
        <v>0.255</v>
      </c>
      <c r="S256" s="80">
        <f>S231*J256</f>
        <v>12.342500000000001</v>
      </c>
      <c r="T256" s="80">
        <f>T231*J256</f>
        <v>1.6675</v>
      </c>
      <c r="U256" s="80">
        <f>U231*J256</f>
        <v>2.5100000000000002</v>
      </c>
      <c r="W256" s="97">
        <f>W231*K256</f>
        <v>-1625.75</v>
      </c>
      <c r="X256" s="97">
        <f>X231*K256</f>
        <v>-1753.5</v>
      </c>
      <c r="Y256" s="97">
        <f>Y231*K256</f>
        <v>-14054.25</v>
      </c>
    </row>
    <row r="257" spans="1:26" ht="13.5" hidden="1" thickBot="1" x14ac:dyDescent="0.25">
      <c r="A257" s="264" t="s">
        <v>200</v>
      </c>
      <c r="B257" s="75" t="s">
        <v>135</v>
      </c>
      <c r="C257" s="265">
        <f>0.1938</f>
        <v>0.1938</v>
      </c>
      <c r="D257" s="265"/>
      <c r="E257" s="265">
        <f>C257</f>
        <v>0.1938</v>
      </c>
      <c r="F257" s="265"/>
      <c r="G257" s="270">
        <f>C257</f>
        <v>0.1938</v>
      </c>
      <c r="H257" s="271" t="s">
        <v>201</v>
      </c>
      <c r="I257" s="30">
        <v>0.1938</v>
      </c>
      <c r="J257" s="64">
        <f>I257</f>
        <v>0.1938</v>
      </c>
      <c r="K257" s="64">
        <f>I257</f>
        <v>0.1938</v>
      </c>
      <c r="L257" s="80">
        <f>$L$141*I257</f>
        <v>1.3566</v>
      </c>
      <c r="M257" s="80">
        <f>M231*I257</f>
        <v>2.1318000000000001</v>
      </c>
      <c r="O257" s="80">
        <f>O231*I257</f>
        <v>17.6358</v>
      </c>
      <c r="P257" s="80">
        <f>P231*I257</f>
        <v>19.767600000000002</v>
      </c>
      <c r="R257" s="80">
        <f>R231*J257</f>
        <v>19.767600000000002</v>
      </c>
      <c r="S257" s="80">
        <f>S231*J257</f>
        <v>956.79060000000004</v>
      </c>
      <c r="T257" s="80">
        <f>T231*J257</f>
        <v>129.2646</v>
      </c>
      <c r="U257" s="80">
        <f>U231*J257</f>
        <v>194.5752</v>
      </c>
      <c r="W257" s="97">
        <f>W231*K257</f>
        <v>-126028.14</v>
      </c>
      <c r="X257" s="97">
        <f>X231*K257</f>
        <v>-135931.32</v>
      </c>
      <c r="Y257" s="97">
        <f>Y231*K257</f>
        <v>-1089485.46</v>
      </c>
    </row>
    <row r="258" spans="1:26" ht="13.5" hidden="1" thickBot="1" x14ac:dyDescent="0.25">
      <c r="A258" s="272" t="s">
        <v>177</v>
      </c>
      <c r="B258" s="273" t="s">
        <v>135</v>
      </c>
      <c r="C258" s="274">
        <v>0.40039999999999998</v>
      </c>
      <c r="D258" s="274"/>
      <c r="E258" s="274">
        <v>0.40039999999999998</v>
      </c>
      <c r="F258" s="274"/>
      <c r="G258" s="275">
        <f>C258</f>
        <v>0.40039999999999998</v>
      </c>
      <c r="H258" s="276"/>
      <c r="I258" s="30">
        <v>0.40039999999999998</v>
      </c>
      <c r="J258" s="64">
        <f>I258</f>
        <v>0.40039999999999998</v>
      </c>
      <c r="K258" s="64">
        <f>I258</f>
        <v>0.40039999999999998</v>
      </c>
      <c r="L258" s="80">
        <f>L231*I258</f>
        <v>7.2071999999999994</v>
      </c>
      <c r="M258" s="80">
        <f>M231*I258</f>
        <v>4.4043999999999999</v>
      </c>
      <c r="O258" s="80">
        <f>O231*I258</f>
        <v>36.436399999999999</v>
      </c>
      <c r="P258" s="80">
        <f>P231*I258</f>
        <v>40.840799999999994</v>
      </c>
      <c r="R258" s="80">
        <f>R231*J258</f>
        <v>40.840799999999994</v>
      </c>
      <c r="S258" s="80">
        <f>S231*J258</f>
        <v>1976.7747999999999</v>
      </c>
      <c r="T258" s="80">
        <f>T231*J258</f>
        <v>267.0668</v>
      </c>
      <c r="U258" s="80">
        <f>U231*J258</f>
        <v>402.0016</v>
      </c>
      <c r="W258" s="97">
        <f>W231*K258</f>
        <v>-260380.12</v>
      </c>
      <c r="X258" s="97">
        <f>X231*K258</f>
        <v>-280840.56</v>
      </c>
      <c r="Y258" s="97">
        <f>Y231*K258</f>
        <v>-2250928.6799999997</v>
      </c>
    </row>
    <row r="259" spans="1:26" ht="13.5" hidden="1" thickBot="1" x14ac:dyDescent="0.25">
      <c r="A259" s="277" t="s">
        <v>178</v>
      </c>
      <c r="B259" s="278"/>
      <c r="C259" s="279" t="e">
        <f>C236+C237+C240+C241+C245+C248+C251+C252+C253+C255+C256+C257+C258</f>
        <v>#REF!</v>
      </c>
      <c r="D259" s="280"/>
      <c r="E259" s="279" t="e">
        <f>E236+E237+E240+E241+E245+E248+E251+E252+E253+E255+E256+E257+E258</f>
        <v>#REF!</v>
      </c>
      <c r="F259" s="280"/>
      <c r="G259" s="279" t="e">
        <f>G236+G237+G240+G241+G245+G248+G251+G252+G253+G255+G256+G257+G258</f>
        <v>#REF!</v>
      </c>
      <c r="H259" s="279"/>
      <c r="I259" s="279">
        <v>9.1323000000000008</v>
      </c>
      <c r="J259" s="279">
        <v>8.5822000000000003</v>
      </c>
      <c r="K259" s="279">
        <v>5.9946000000000002</v>
      </c>
      <c r="L259" s="115">
        <f>SUM(L232:L258)</f>
        <v>135.29551999999998</v>
      </c>
      <c r="M259" s="116">
        <f>SUM(M232:M258)</f>
        <v>68.905749999999983</v>
      </c>
      <c r="O259" s="117">
        <f>SUM(O232:O258)</f>
        <v>682.29732500000023</v>
      </c>
      <c r="P259" s="117">
        <f>SUM(P232:P258)</f>
        <v>801.93619999999999</v>
      </c>
      <c r="R259" s="117">
        <f>SUM(R232:R258)</f>
        <v>772.49660000000006</v>
      </c>
      <c r="S259" s="117">
        <f>SUM(S232:S258)</f>
        <v>34125.777099999999</v>
      </c>
      <c r="T259" s="117">
        <f>SUM(T232:T258)</f>
        <v>4670.0361000000003</v>
      </c>
      <c r="U259" s="117">
        <f>SUM(U232:U258)</f>
        <v>6994.7631999999985</v>
      </c>
    </row>
    <row r="260" spans="1:26" ht="13.5" hidden="1" thickBot="1" x14ac:dyDescent="0.25">
      <c r="A260" s="277" t="s">
        <v>179</v>
      </c>
      <c r="B260" s="278" t="s">
        <v>166</v>
      </c>
      <c r="C260" s="281">
        <f>C250</f>
        <v>5</v>
      </c>
      <c r="D260" s="281"/>
      <c r="E260" s="281">
        <f>E247+E250</f>
        <v>68.87</v>
      </c>
      <c r="F260" s="281"/>
      <c r="G260" s="281">
        <f>G247+G250</f>
        <v>68.87</v>
      </c>
      <c r="H260" s="279"/>
      <c r="I260" s="120">
        <f>I232+I233+I234+I235+I240+I241+I245+I248+I251</f>
        <v>7.2462000000000009</v>
      </c>
      <c r="J260" s="64" t="e">
        <f>E259-J259</f>
        <v>#REF!</v>
      </c>
      <c r="K260" s="64" t="e">
        <f>G259-K259</f>
        <v>#REF!</v>
      </c>
      <c r="M260" s="30" t="s">
        <v>180</v>
      </c>
      <c r="O260" s="121">
        <f>O231*I262</f>
        <v>8.7360000000000007</v>
      </c>
      <c r="P260" s="121">
        <f>P231*I262</f>
        <v>9.7919999999999998</v>
      </c>
      <c r="R260" s="121">
        <f>R231*J262</f>
        <v>9.7919999999999998</v>
      </c>
      <c r="S260" s="121">
        <f>S231*K262</f>
        <v>473.952</v>
      </c>
      <c r="T260" s="121">
        <f>T231*J262</f>
        <v>64.031999999999996</v>
      </c>
      <c r="U260" s="121">
        <f>U231*J262</f>
        <v>96.384</v>
      </c>
    </row>
    <row r="261" spans="1:26" ht="14.25" hidden="1" thickTop="1" thickBot="1" x14ac:dyDescent="0.25">
      <c r="A261" s="277" t="s">
        <v>181</v>
      </c>
      <c r="B261" s="282" t="s">
        <v>158</v>
      </c>
      <c r="C261" s="279"/>
      <c r="D261" s="279"/>
      <c r="E261" s="279"/>
      <c r="F261" s="279"/>
      <c r="G261" s="279" t="e">
        <f>G239+G244</f>
        <v>#REF!</v>
      </c>
      <c r="H261" s="279"/>
      <c r="I261" s="30" t="s">
        <v>182</v>
      </c>
      <c r="J261" s="30" t="s">
        <v>182</v>
      </c>
      <c r="K261" s="30" t="s">
        <v>182</v>
      </c>
      <c r="M261" s="30" t="s">
        <v>183</v>
      </c>
      <c r="O261" s="121">
        <f>O231*I263</f>
        <v>0.10919999999999999</v>
      </c>
      <c r="P261" s="121">
        <f>P231*I263</f>
        <v>0.12239999999999999</v>
      </c>
      <c r="R261" s="121">
        <f>R231*J263</f>
        <v>0.12239999999999999</v>
      </c>
      <c r="S261" s="121">
        <f>S231*K263</f>
        <v>5.9243999999999994</v>
      </c>
      <c r="T261" s="121">
        <f>T231*J263</f>
        <v>0.80039999999999989</v>
      </c>
      <c r="U261" s="121">
        <f>U231*J263</f>
        <v>1.2047999999999999</v>
      </c>
    </row>
    <row r="262" spans="1:26" ht="14.25" hidden="1" thickTop="1" thickBot="1" x14ac:dyDescent="0.25">
      <c r="A262" s="75"/>
      <c r="B262" s="75"/>
      <c r="C262" s="75"/>
      <c r="D262" s="1010" t="s">
        <v>184</v>
      </c>
      <c r="E262" s="1010"/>
      <c r="F262" s="1011"/>
      <c r="G262" s="1012" t="s">
        <v>185</v>
      </c>
      <c r="H262" s="1010"/>
      <c r="I262" s="30">
        <v>9.6000000000000002E-2</v>
      </c>
      <c r="J262" s="64">
        <f>I262</f>
        <v>9.6000000000000002E-2</v>
      </c>
      <c r="K262" s="64">
        <f>I262</f>
        <v>9.6000000000000002E-2</v>
      </c>
      <c r="M262" s="30" t="s">
        <v>186</v>
      </c>
      <c r="O262" s="121">
        <f>O231*I264</f>
        <v>1.1193</v>
      </c>
      <c r="P262" s="121">
        <f>P231*I264</f>
        <v>1.2545999999999999</v>
      </c>
      <c r="R262" s="121">
        <f>R231*J264</f>
        <v>1.2545999999999999</v>
      </c>
      <c r="S262" s="121">
        <f>S231*J264</f>
        <v>60.725099999999998</v>
      </c>
      <c r="T262" s="121">
        <f>T231*J264</f>
        <v>8.2041000000000004</v>
      </c>
      <c r="U262" s="121">
        <f>U231*J264</f>
        <v>12.3492</v>
      </c>
    </row>
    <row r="263" spans="1:26" ht="13.5" hidden="1" thickBot="1" x14ac:dyDescent="0.25">
      <c r="A263" s="75"/>
      <c r="B263" s="75"/>
      <c r="C263" s="75"/>
      <c r="D263" s="283" t="s">
        <v>187</v>
      </c>
      <c r="E263" s="284" t="s">
        <v>188</v>
      </c>
      <c r="F263" s="285" t="s">
        <v>189</v>
      </c>
      <c r="G263" s="1013" t="s">
        <v>190</v>
      </c>
      <c r="H263" s="1014"/>
      <c r="I263" s="64">
        <v>1.1999999999999999E-3</v>
      </c>
      <c r="J263" s="64">
        <f>I263</f>
        <v>1.1999999999999999E-3</v>
      </c>
      <c r="K263" s="64">
        <f>I263</f>
        <v>1.1999999999999999E-3</v>
      </c>
      <c r="M263" s="30" t="s">
        <v>191</v>
      </c>
      <c r="O263" s="121">
        <f>(SUM(O237,O245:O252))*12%</f>
        <v>21.649391999999999</v>
      </c>
      <c r="P263" s="121">
        <f>(SUM(P237,P245:P252))*12%</f>
        <v>24.193823999999999</v>
      </c>
      <c r="R263" s="121">
        <f>(SUM(R237,R245:R252))*12%</f>
        <v>20.555808000000003</v>
      </c>
      <c r="S263" s="121">
        <f>(SUM(S237,S245:S252))*12%</f>
        <v>603.19264799999996</v>
      </c>
      <c r="T263" s="121">
        <f>(SUM(T237,T245:T252))*12%</f>
        <v>88.640567999999988</v>
      </c>
      <c r="U263" s="121">
        <f>(SUM(U237,U245:U252))*12%</f>
        <v>129.25041599999997</v>
      </c>
    </row>
    <row r="264" spans="1:26" ht="13.5" hidden="1" thickBot="1" x14ac:dyDescent="0.25">
      <c r="A264" s="75"/>
      <c r="B264" s="75"/>
      <c r="C264" s="75"/>
      <c r="D264" s="286" t="e">
        <f>#REF!</f>
        <v>#REF!</v>
      </c>
      <c r="E264" s="286" t="e">
        <f>#REF!</f>
        <v>#REF!</v>
      </c>
      <c r="F264" s="286" t="e">
        <f>#REF!</f>
        <v>#REF!</v>
      </c>
      <c r="G264" s="287">
        <v>0.12</v>
      </c>
      <c r="H264" s="288"/>
      <c r="I264" s="64">
        <v>1.23E-2</v>
      </c>
      <c r="J264" s="64">
        <f>I264</f>
        <v>1.23E-2</v>
      </c>
      <c r="K264" s="64">
        <f>I264</f>
        <v>1.23E-2</v>
      </c>
      <c r="O264" s="116">
        <f>SUM(O259:O263)</f>
        <v>713.91121700000019</v>
      </c>
      <c r="P264" s="116">
        <f>SUM(P259:P263)</f>
        <v>837.29902399999992</v>
      </c>
      <c r="R264" s="116">
        <f>SUM(R259:R263)</f>
        <v>804.221408</v>
      </c>
      <c r="S264" s="116">
        <f>SUM(S259:S263)</f>
        <v>35269.571248</v>
      </c>
      <c r="T264" s="116">
        <f>SUM(T259:T263)</f>
        <v>4831.7131680000002</v>
      </c>
      <c r="U264" s="116">
        <f>SUM(U259:U263)</f>
        <v>7233.9516159999985</v>
      </c>
    </row>
    <row r="265" spans="1:26" ht="13.5" hidden="1" thickBot="1" x14ac:dyDescent="0.25">
      <c r="A265" s="74" t="s">
        <v>192</v>
      </c>
      <c r="B265" s="74"/>
      <c r="C265" s="289" t="s">
        <v>193</v>
      </c>
      <c r="D265" s="290" t="e">
        <f>G259+D264+E264+F264</f>
        <v>#REF!</v>
      </c>
      <c r="E265" s="75"/>
      <c r="F265" s="75"/>
      <c r="G265" s="75"/>
      <c r="H265" s="75"/>
      <c r="J265" s="97"/>
      <c r="P265" s="97">
        <v>250.02</v>
      </c>
    </row>
    <row r="266" spans="1:26" ht="13.5" hidden="1" thickBot="1" x14ac:dyDescent="0.25">
      <c r="A266" s="74"/>
      <c r="B266" s="75"/>
      <c r="C266" s="74"/>
      <c r="D266" s="75"/>
      <c r="E266" s="75"/>
      <c r="F266" s="75"/>
      <c r="G266" s="75"/>
      <c r="H266" s="75"/>
      <c r="P266" s="97">
        <f>P264-P257</f>
        <v>817.5314239999999</v>
      </c>
      <c r="Q266" s="122">
        <f>P266-P265</f>
        <v>567.51142399999992</v>
      </c>
    </row>
    <row r="267" spans="1:26" ht="13.5" hidden="1" thickBot="1" x14ac:dyDescent="0.25">
      <c r="A267" s="291" t="s">
        <v>194</v>
      </c>
      <c r="B267" s="255"/>
      <c r="C267" s="291" t="s">
        <v>195</v>
      </c>
      <c r="D267" s="75"/>
      <c r="E267" s="75"/>
      <c r="F267" s="75"/>
      <c r="G267" s="75"/>
      <c r="H267" s="75"/>
      <c r="P267" s="30">
        <v>233.11</v>
      </c>
    </row>
    <row r="268" spans="1:26" ht="13.5" hidden="1" thickBot="1" x14ac:dyDescent="0.25">
      <c r="A268" s="74" t="s">
        <v>196</v>
      </c>
      <c r="B268" s="75"/>
      <c r="C268" s="74" t="s">
        <v>197</v>
      </c>
      <c r="D268" s="75"/>
      <c r="E268" s="75"/>
      <c r="F268" s="75"/>
      <c r="G268" s="75"/>
      <c r="H268" s="75"/>
      <c r="P268" s="122">
        <f>P267-P264</f>
        <v>-604.1890239999999</v>
      </c>
    </row>
    <row r="269" spans="1:26" ht="13.5" hidden="1" thickBot="1" x14ac:dyDescent="0.25">
      <c r="A269" s="425" t="s">
        <v>64</v>
      </c>
      <c r="B269" s="426"/>
      <c r="C269" s="426"/>
      <c r="D269" s="426"/>
      <c r="E269" s="426"/>
      <c r="F269" s="426"/>
      <c r="G269" s="426"/>
      <c r="H269" s="427"/>
    </row>
    <row r="270" spans="1:26" ht="13.5" hidden="1" thickBot="1" x14ac:dyDescent="0.25">
      <c r="A270" s="417" t="s">
        <v>0</v>
      </c>
      <c r="B270" s="418"/>
      <c r="C270" s="418"/>
      <c r="D270" s="418"/>
      <c r="E270" s="418"/>
      <c r="F270" s="418"/>
      <c r="G270" s="418"/>
      <c r="H270" s="419"/>
    </row>
    <row r="271" spans="1:26" ht="13.5" hidden="1" thickBot="1" x14ac:dyDescent="0.25">
      <c r="A271" s="417"/>
      <c r="B271" s="418"/>
      <c r="C271" s="418"/>
      <c r="D271" s="418"/>
      <c r="E271" s="418"/>
      <c r="F271" s="418"/>
      <c r="G271" s="418"/>
      <c r="H271" s="419"/>
    </row>
    <row r="272" spans="1:26" ht="13.5" hidden="1" thickBot="1" x14ac:dyDescent="0.25">
      <c r="A272" s="428" t="s">
        <v>60</v>
      </c>
      <c r="B272" s="418"/>
      <c r="C272" s="418"/>
      <c r="D272" s="418"/>
      <c r="E272" s="418"/>
      <c r="F272" s="418"/>
      <c r="G272" s="418"/>
      <c r="H272" s="419"/>
      <c r="W272" s="34" t="s">
        <v>143</v>
      </c>
      <c r="X272" s="34" t="s">
        <v>144</v>
      </c>
      <c r="Y272" s="34" t="s">
        <v>1</v>
      </c>
      <c r="Z272" s="34" t="s">
        <v>222</v>
      </c>
    </row>
    <row r="273" spans="1:26" ht="13.5" hidden="1" thickBot="1" x14ac:dyDescent="0.25">
      <c r="A273" s="429" t="s">
        <v>63</v>
      </c>
      <c r="B273" s="418"/>
      <c r="C273" s="418"/>
      <c r="D273" s="418"/>
      <c r="E273" s="418"/>
      <c r="F273" s="418"/>
      <c r="G273" s="418"/>
      <c r="H273" s="419"/>
      <c r="W273" s="83" t="s">
        <v>145</v>
      </c>
      <c r="X273" s="83" t="s">
        <v>145</v>
      </c>
      <c r="Y273" s="83" t="s">
        <v>145</v>
      </c>
      <c r="Z273" s="83" t="s">
        <v>145</v>
      </c>
    </row>
    <row r="274" spans="1:26" ht="13.5" hidden="1" thickBot="1" x14ac:dyDescent="0.25">
      <c r="A274" s="429"/>
      <c r="B274" s="418"/>
      <c r="C274" s="418"/>
      <c r="D274" s="418"/>
      <c r="E274" s="418"/>
      <c r="F274" s="418"/>
      <c r="G274" s="418"/>
      <c r="H274" s="419"/>
      <c r="L274" s="257" t="s">
        <v>146</v>
      </c>
      <c r="M274" s="75" t="s">
        <v>6</v>
      </c>
      <c r="N274" s="75"/>
      <c r="O274" s="257" t="s">
        <v>146</v>
      </c>
      <c r="P274" s="413" t="s">
        <v>6</v>
      </c>
      <c r="R274" s="85" t="s">
        <v>147</v>
      </c>
      <c r="S274" s="85" t="s">
        <v>147</v>
      </c>
      <c r="T274" s="85" t="s">
        <v>147</v>
      </c>
      <c r="U274" s="85" t="s">
        <v>147</v>
      </c>
      <c r="W274" s="86">
        <f>0.2*700</f>
        <v>140</v>
      </c>
      <c r="X274" s="86">
        <f>0.31*700</f>
        <v>217</v>
      </c>
      <c r="Y274" s="86">
        <f>0.37*2100</f>
        <v>777</v>
      </c>
      <c r="Z274" s="86">
        <f>0.37*2100</f>
        <v>777</v>
      </c>
    </row>
    <row r="275" spans="1:26" ht="13.5" hidden="1" thickBot="1" x14ac:dyDescent="0.25">
      <c r="A275" s="1015"/>
      <c r="B275" s="1016"/>
      <c r="C275" s="430" t="s">
        <v>6</v>
      </c>
      <c r="D275" s="1017" t="s">
        <v>47</v>
      </c>
      <c r="E275" s="1018"/>
      <c r="F275" s="1019"/>
      <c r="G275" s="1017" t="s">
        <v>13</v>
      </c>
      <c r="H275" s="1020"/>
      <c r="I275" s="463" t="s">
        <v>6</v>
      </c>
      <c r="J275" s="430" t="s">
        <v>47</v>
      </c>
      <c r="K275" s="430" t="s">
        <v>13</v>
      </c>
      <c r="L275" s="257" t="s">
        <v>130</v>
      </c>
      <c r="M275" s="260" t="s">
        <v>148</v>
      </c>
      <c r="N275" s="75"/>
      <c r="O275" s="257" t="s">
        <v>130</v>
      </c>
      <c r="P275" s="414" t="s">
        <v>130</v>
      </c>
      <c r="R275" s="80" t="s">
        <v>130</v>
      </c>
      <c r="S275" s="80" t="s">
        <v>130</v>
      </c>
      <c r="T275" s="80" t="s">
        <v>130</v>
      </c>
      <c r="U275" s="80" t="s">
        <v>130</v>
      </c>
      <c r="W275" s="89" t="s">
        <v>130</v>
      </c>
      <c r="X275" s="89" t="s">
        <v>130</v>
      </c>
      <c r="Y275" s="89" t="s">
        <v>130</v>
      </c>
      <c r="Z275" s="89" t="s">
        <v>130</v>
      </c>
    </row>
    <row r="276" spans="1:26" ht="13.5" hidden="1" thickBot="1" x14ac:dyDescent="0.25">
      <c r="A276" s="428" t="s">
        <v>149</v>
      </c>
      <c r="B276" s="418"/>
      <c r="C276" s="431"/>
      <c r="D276" s="431"/>
      <c r="E276" s="431"/>
      <c r="F276" s="431"/>
      <c r="G276" s="431"/>
      <c r="H276" s="432"/>
      <c r="J276" s="93"/>
      <c r="L276" s="93">
        <v>18</v>
      </c>
      <c r="M276" s="93">
        <v>20</v>
      </c>
      <c r="O276" s="93">
        <v>112</v>
      </c>
      <c r="P276" s="93">
        <v>22</v>
      </c>
      <c r="R276" s="93">
        <v>503</v>
      </c>
      <c r="S276" s="93">
        <v>4937</v>
      </c>
      <c r="T276" s="93">
        <v>667</v>
      </c>
      <c r="U276" s="93">
        <v>1004</v>
      </c>
      <c r="W276" s="94">
        <f>(0-982)*700</f>
        <v>-687400</v>
      </c>
      <c r="X276" s="94">
        <f>(0-1101)*700</f>
        <v>-770700</v>
      </c>
      <c r="Y276" s="94">
        <v>500</v>
      </c>
      <c r="Z276" s="94">
        <v>500</v>
      </c>
    </row>
    <row r="277" spans="1:26" ht="13.5" hidden="1" thickBot="1" x14ac:dyDescent="0.25">
      <c r="A277" s="417" t="s">
        <v>150</v>
      </c>
      <c r="B277" s="418" t="s">
        <v>135</v>
      </c>
      <c r="C277" s="433" t="e">
        <f>C281-C278-C279-C280</f>
        <v>#REF!</v>
      </c>
      <c r="D277" s="433"/>
      <c r="E277" s="433" t="e">
        <f>E281-E278-E279-E280</f>
        <v>#REF!</v>
      </c>
      <c r="F277" s="433"/>
      <c r="G277" s="433" t="e">
        <f>G281-G278-G279-G280</f>
        <v>#REF!</v>
      </c>
      <c r="H277" s="419"/>
      <c r="I277" s="30">
        <v>4.0871000000000004</v>
      </c>
      <c r="J277" s="30">
        <f>I277</f>
        <v>4.0871000000000004</v>
      </c>
      <c r="K277" s="30">
        <f>J277</f>
        <v>4.0871000000000004</v>
      </c>
      <c r="L277" s="80">
        <f>L276*(I277+I279+I280)</f>
        <v>84.475800000000007</v>
      </c>
      <c r="M277" s="80">
        <f>M276*(I277+I279+I280)</f>
        <v>93.862000000000009</v>
      </c>
      <c r="O277" s="80">
        <f>O276*(I277+I279+I280)</f>
        <v>525.62720000000002</v>
      </c>
      <c r="P277" s="80">
        <f>P276*(I277+I279+I280)</f>
        <v>103.24820000000001</v>
      </c>
      <c r="R277" s="80">
        <f>R276*(J277+J279+J280)</f>
        <v>2360.6293000000001</v>
      </c>
      <c r="S277" s="80">
        <f>S276*(J277+J279+J280)</f>
        <v>23169.834700000003</v>
      </c>
      <c r="T277" s="80">
        <f>T276*(J277+J279+J280)</f>
        <v>3130.2977000000001</v>
      </c>
      <c r="U277" s="80">
        <f>U276*(J277+J279+J280)</f>
        <v>4711.8724000000002</v>
      </c>
      <c r="W277" s="97">
        <f>W276*(K277+K279+K280)</f>
        <v>-3226036.9400000004</v>
      </c>
      <c r="X277" s="97">
        <f>X276*(K277+K279+K280)</f>
        <v>-3616972.1700000004</v>
      </c>
      <c r="Y277" s="97">
        <f>Y276*(K277+K279+K280)</f>
        <v>2346.5500000000002</v>
      </c>
    </row>
    <row r="278" spans="1:26" ht="13.5" hidden="1" thickBot="1" x14ac:dyDescent="0.25">
      <c r="A278" s="417" t="s">
        <v>151</v>
      </c>
      <c r="B278" s="418" t="s">
        <v>135</v>
      </c>
      <c r="C278" s="433">
        <v>1.77E-2</v>
      </c>
      <c r="D278" s="433"/>
      <c r="E278" s="433">
        <v>1.77E-2</v>
      </c>
      <c r="F278" s="433"/>
      <c r="G278" s="433">
        <v>1.77E-2</v>
      </c>
      <c r="H278" s="434"/>
      <c r="I278" s="30">
        <v>1.77E-2</v>
      </c>
      <c r="J278" s="30">
        <v>1.77E-2</v>
      </c>
      <c r="K278" s="30">
        <v>1.77E-2</v>
      </c>
      <c r="L278" s="80">
        <f>L276*I278</f>
        <v>0.31859999999999999</v>
      </c>
      <c r="M278" s="80">
        <f>M276*I278</f>
        <v>0.35399999999999998</v>
      </c>
      <c r="O278" s="80">
        <f>O276*I278</f>
        <v>1.9824000000000002</v>
      </c>
      <c r="P278" s="80">
        <f>P276*I278</f>
        <v>0.38940000000000002</v>
      </c>
      <c r="R278" s="80">
        <f>R276*J278</f>
        <v>8.9031000000000002</v>
      </c>
      <c r="S278" s="80">
        <f>S276*J278</f>
        <v>87.384900000000002</v>
      </c>
      <c r="T278" s="80">
        <f>T276*J278</f>
        <v>11.805900000000001</v>
      </c>
      <c r="U278" s="80">
        <f>U276*J278</f>
        <v>17.770800000000001</v>
      </c>
      <c r="W278" s="97">
        <f>W276*K278</f>
        <v>-12166.98</v>
      </c>
      <c r="X278" s="97">
        <f>X276*K278</f>
        <v>-13641.390000000001</v>
      </c>
      <c r="Y278" s="97">
        <f>Y276*K278</f>
        <v>8.85</v>
      </c>
    </row>
    <row r="279" spans="1:26" ht="13.5" hidden="1" thickBot="1" x14ac:dyDescent="0.25">
      <c r="A279" s="417" t="s">
        <v>210</v>
      </c>
      <c r="B279" s="418" t="s">
        <v>135</v>
      </c>
      <c r="C279" s="433">
        <v>0.48470000000000002</v>
      </c>
      <c r="D279" s="433"/>
      <c r="E279" s="433">
        <v>0.48470000000000002</v>
      </c>
      <c r="F279" s="433"/>
      <c r="G279" s="433">
        <v>0.48470000000000002</v>
      </c>
      <c r="H279" s="434"/>
      <c r="I279" s="30">
        <v>0.48470000000000002</v>
      </c>
      <c r="J279" s="30">
        <v>0.48470000000000002</v>
      </c>
      <c r="K279" s="30">
        <v>0.48470000000000002</v>
      </c>
      <c r="M279" s="80"/>
      <c r="O279" s="80"/>
      <c r="P279" s="80"/>
      <c r="R279" s="80"/>
      <c r="S279" s="80"/>
      <c r="T279" s="80"/>
      <c r="U279" s="80"/>
      <c r="W279" s="97"/>
      <c r="X279" s="97"/>
      <c r="Y279" s="97"/>
    </row>
    <row r="280" spans="1:26" ht="13.5" hidden="1" thickBot="1" x14ac:dyDescent="0.25">
      <c r="A280" s="417" t="s">
        <v>209</v>
      </c>
      <c r="B280" s="418" t="s">
        <v>135</v>
      </c>
      <c r="C280" s="433">
        <v>0.12130000000000001</v>
      </c>
      <c r="D280" s="433"/>
      <c r="E280" s="433">
        <v>0.12130000000000001</v>
      </c>
      <c r="F280" s="433"/>
      <c r="G280" s="433">
        <v>0.12130000000000001</v>
      </c>
      <c r="H280" s="434"/>
      <c r="I280" s="30">
        <v>0.12130000000000001</v>
      </c>
      <c r="J280" s="30">
        <v>0.12130000000000001</v>
      </c>
      <c r="K280" s="30">
        <v>0.12130000000000001</v>
      </c>
      <c r="M280" s="80"/>
      <c r="O280" s="80"/>
      <c r="P280" s="80"/>
      <c r="R280" s="80"/>
      <c r="S280" s="80"/>
      <c r="T280" s="80"/>
      <c r="U280" s="80"/>
      <c r="W280" s="97"/>
      <c r="X280" s="97"/>
      <c r="Y280" s="97"/>
    </row>
    <row r="281" spans="1:26" ht="13.5" hidden="1" thickBot="1" x14ac:dyDescent="0.25">
      <c r="A281" s="417" t="s">
        <v>154</v>
      </c>
      <c r="B281" s="418"/>
      <c r="C281" s="435" t="e">
        <f>#REF!</f>
        <v>#REF!</v>
      </c>
      <c r="D281" s="435"/>
      <c r="E281" s="435" t="e">
        <f>C281</f>
        <v>#REF!</v>
      </c>
      <c r="F281" s="435"/>
      <c r="G281" s="435" t="e">
        <f>C281</f>
        <v>#REF!</v>
      </c>
      <c r="H281" s="436"/>
      <c r="M281" s="80"/>
      <c r="O281" s="80"/>
      <c r="P281" s="80"/>
      <c r="R281" s="80"/>
      <c r="S281" s="80"/>
      <c r="T281" s="80"/>
      <c r="U281" s="80"/>
      <c r="W281" s="97"/>
      <c r="X281" s="97"/>
      <c r="Y281" s="97"/>
    </row>
    <row r="282" spans="1:26" ht="13.5" hidden="1" thickBot="1" x14ac:dyDescent="0.25">
      <c r="A282" s="428" t="s">
        <v>155</v>
      </c>
      <c r="B282" s="418" t="s">
        <v>135</v>
      </c>
      <c r="C282" s="433">
        <f>(-592132.44-9982.86)/2608554</f>
        <v>-0.23082339871054997</v>
      </c>
      <c r="D282" s="433"/>
      <c r="E282" s="433"/>
      <c r="F282" s="433"/>
      <c r="G282" s="433"/>
      <c r="H282" s="419"/>
      <c r="I282" s="64">
        <v>-0.23080000000000001</v>
      </c>
      <c r="J282" s="101"/>
      <c r="K282" s="101"/>
      <c r="L282" s="80">
        <f>L276*I282</f>
        <v>-4.1543999999999999</v>
      </c>
      <c r="M282" s="80">
        <f>M276*I282</f>
        <v>-4.6159999999999997</v>
      </c>
      <c r="O282" s="102">
        <f>O276*I282</f>
        <v>-25.849600000000002</v>
      </c>
      <c r="P282" s="102">
        <f>P276*I282</f>
        <v>-5.0776000000000003</v>
      </c>
      <c r="R282" s="102">
        <f>R276*J282</f>
        <v>0</v>
      </c>
      <c r="S282" s="102">
        <f>S276*K282</f>
        <v>0</v>
      </c>
      <c r="T282" s="102">
        <f>T276*J282</f>
        <v>0</v>
      </c>
      <c r="U282" s="102">
        <f>U276*J282</f>
        <v>0</v>
      </c>
      <c r="W282" s="103">
        <f>W276*K282</f>
        <v>0</v>
      </c>
      <c r="X282" s="103">
        <f>X276*K282</f>
        <v>0</v>
      </c>
      <c r="Y282" s="103">
        <f>Y276*K282</f>
        <v>0</v>
      </c>
    </row>
    <row r="283" spans="1:26" ht="13.5" hidden="1" thickBot="1" x14ac:dyDescent="0.25">
      <c r="A283" s="428" t="s">
        <v>156</v>
      </c>
      <c r="B283" s="418"/>
      <c r="C283" s="433"/>
      <c r="D283" s="433"/>
      <c r="E283" s="433"/>
      <c r="F283" s="433"/>
      <c r="G283" s="433"/>
      <c r="H283" s="419"/>
      <c r="M283" s="80"/>
      <c r="O283" s="80"/>
      <c r="P283" s="80"/>
      <c r="R283" s="80"/>
      <c r="S283" s="80"/>
      <c r="T283" s="80"/>
      <c r="U283" s="80"/>
      <c r="W283" s="97"/>
      <c r="X283" s="97"/>
      <c r="Y283" s="97"/>
    </row>
    <row r="284" spans="1:26" ht="13.5" hidden="1" thickBot="1" x14ac:dyDescent="0.25">
      <c r="A284" s="417" t="s">
        <v>157</v>
      </c>
      <c r="B284" s="418" t="s">
        <v>158</v>
      </c>
      <c r="C284" s="433"/>
      <c r="D284" s="433"/>
      <c r="E284" s="433"/>
      <c r="F284" s="433"/>
      <c r="G284" s="433" t="e">
        <f>#REF!</f>
        <v>#REF!</v>
      </c>
      <c r="H284" s="434"/>
      <c r="K284" s="64">
        <v>228.24539999999999</v>
      </c>
      <c r="M284" s="80"/>
      <c r="O284" s="80"/>
      <c r="P284" s="80"/>
      <c r="R284" s="80"/>
      <c r="S284" s="80"/>
      <c r="T284" s="80"/>
      <c r="U284" s="80"/>
      <c r="W284" s="104">
        <f>W274*K284</f>
        <v>31954.356</v>
      </c>
      <c r="X284" s="97">
        <f>X274*K284</f>
        <v>49529.251799999998</v>
      </c>
      <c r="Y284" s="97">
        <f>Y274*K284</f>
        <v>177346.6758</v>
      </c>
    </row>
    <row r="285" spans="1:26" ht="13.5" hidden="1" thickBot="1" x14ac:dyDescent="0.25">
      <c r="A285" s="417" t="s">
        <v>159</v>
      </c>
      <c r="B285" s="418" t="s">
        <v>135</v>
      </c>
      <c r="C285" s="433" t="e">
        <f>#REF!</f>
        <v>#REF!</v>
      </c>
      <c r="D285" s="433"/>
      <c r="E285" s="433" t="e">
        <f>#REF!</f>
        <v>#REF!</v>
      </c>
      <c r="F285" s="433"/>
      <c r="G285" s="433"/>
      <c r="H285" s="434"/>
      <c r="I285" s="30">
        <v>0.7228</v>
      </c>
      <c r="J285" s="64">
        <v>0.7228</v>
      </c>
      <c r="L285" s="80">
        <f>L276*I285</f>
        <v>13.010400000000001</v>
      </c>
      <c r="M285" s="80">
        <f>M276*I285</f>
        <v>14.456</v>
      </c>
      <c r="O285" s="80">
        <f>O276*I285</f>
        <v>80.953599999999994</v>
      </c>
      <c r="P285" s="80">
        <f>P276*I285</f>
        <v>15.9016</v>
      </c>
      <c r="R285" s="80">
        <f>R276*J285</f>
        <v>363.5684</v>
      </c>
      <c r="S285" s="80">
        <f>S276*J285</f>
        <v>3568.4636</v>
      </c>
      <c r="T285" s="80">
        <f>T276*J285</f>
        <v>482.10759999999999</v>
      </c>
      <c r="U285" s="80">
        <f>U276*J285</f>
        <v>725.69119999999998</v>
      </c>
      <c r="W285" s="97">
        <f>W276*K285</f>
        <v>0</v>
      </c>
      <c r="X285" s="97">
        <f>X276*K285</f>
        <v>0</v>
      </c>
      <c r="Y285" s="97">
        <f>Y276*K285</f>
        <v>0</v>
      </c>
    </row>
    <row r="286" spans="1:26" ht="13.5" hidden="1" thickBot="1" x14ac:dyDescent="0.25">
      <c r="A286" s="428" t="s">
        <v>160</v>
      </c>
      <c r="B286" s="418" t="s">
        <v>135</v>
      </c>
      <c r="C286" s="433" t="e">
        <f>#REF!</f>
        <v>#REF!</v>
      </c>
      <c r="D286" s="433"/>
      <c r="E286" s="433" t="e">
        <f>C286</f>
        <v>#REF!</v>
      </c>
      <c r="F286" s="433"/>
      <c r="G286" s="433" t="e">
        <f>C286</f>
        <v>#REF!</v>
      </c>
      <c r="H286" s="434"/>
      <c r="I286" s="30">
        <v>0.68610000000000004</v>
      </c>
      <c r="J286" s="30">
        <v>0.68610000000000004</v>
      </c>
      <c r="K286" s="30">
        <v>0.68610000000000004</v>
      </c>
      <c r="L286" s="80">
        <f>L276*I286</f>
        <v>12.3498</v>
      </c>
      <c r="M286" s="80">
        <f>M276*I286</f>
        <v>13.722000000000001</v>
      </c>
      <c r="O286" s="80">
        <f>O276*I286</f>
        <v>76.84320000000001</v>
      </c>
      <c r="P286" s="80">
        <f>P276*I286</f>
        <v>15.094200000000001</v>
      </c>
      <c r="R286" s="80">
        <f>R276*J286</f>
        <v>345.10830000000004</v>
      </c>
      <c r="S286" s="80">
        <f>S276*J286</f>
        <v>3387.2757000000001</v>
      </c>
      <c r="T286" s="80">
        <f>T276*J286</f>
        <v>457.62870000000004</v>
      </c>
      <c r="U286" s="80">
        <f>U276*J286</f>
        <v>688.84440000000006</v>
      </c>
      <c r="W286" s="97">
        <f>W276*K286</f>
        <v>-471625.14</v>
      </c>
      <c r="X286" s="97">
        <f>X276*K286</f>
        <v>-528777.27</v>
      </c>
      <c r="Y286" s="97">
        <f>Y276*K286</f>
        <v>343.05</v>
      </c>
    </row>
    <row r="287" spans="1:26" ht="13.5" hidden="1" thickBot="1" x14ac:dyDescent="0.25">
      <c r="A287" s="417"/>
      <c r="B287" s="418"/>
      <c r="C287" s="433"/>
      <c r="D287" s="433"/>
      <c r="E287" s="433"/>
      <c r="F287" s="433"/>
      <c r="G287" s="433"/>
      <c r="H287" s="434"/>
      <c r="M287" s="80"/>
      <c r="O287" s="80"/>
      <c r="P287" s="80"/>
      <c r="R287" s="80"/>
      <c r="S287" s="80"/>
      <c r="T287" s="80"/>
      <c r="U287" s="80"/>
      <c r="W287" s="97"/>
      <c r="X287" s="97"/>
      <c r="Y287" s="97"/>
    </row>
    <row r="288" spans="1:26" ht="13.5" hidden="1" thickBot="1" x14ac:dyDescent="0.25">
      <c r="A288" s="428" t="s">
        <v>161</v>
      </c>
      <c r="B288" s="418"/>
      <c r="C288" s="433"/>
      <c r="D288" s="433"/>
      <c r="E288" s="433"/>
      <c r="F288" s="433"/>
      <c r="G288" s="433"/>
      <c r="H288" s="434"/>
      <c r="M288" s="80"/>
      <c r="O288" s="80"/>
      <c r="P288" s="80"/>
      <c r="R288" s="80"/>
      <c r="S288" s="80"/>
      <c r="T288" s="80"/>
      <c r="U288" s="80"/>
      <c r="W288" s="97"/>
      <c r="X288" s="97"/>
      <c r="Y288" s="97"/>
    </row>
    <row r="289" spans="1:26" ht="13.5" hidden="1" thickBot="1" x14ac:dyDescent="0.25">
      <c r="A289" s="417" t="s">
        <v>162</v>
      </c>
      <c r="B289" s="418" t="s">
        <v>158</v>
      </c>
      <c r="C289" s="433"/>
      <c r="D289" s="433"/>
      <c r="E289" s="433"/>
      <c r="F289" s="433"/>
      <c r="G289" s="437">
        <v>267.89999999999998</v>
      </c>
      <c r="H289" s="434"/>
      <c r="K289" s="101">
        <v>267.89999999999998</v>
      </c>
      <c r="M289" s="80"/>
      <c r="O289" s="80"/>
      <c r="P289" s="80"/>
      <c r="R289" s="80"/>
      <c r="S289" s="80"/>
      <c r="T289" s="80"/>
      <c r="U289" s="80"/>
      <c r="W289" s="104">
        <f>W274*K289</f>
        <v>37506</v>
      </c>
      <c r="X289" s="104">
        <f>X274*K289</f>
        <v>58134.299999999996</v>
      </c>
      <c r="Y289" s="104">
        <f>Y274*K289</f>
        <v>208158.3</v>
      </c>
    </row>
    <row r="290" spans="1:26" ht="13.5" hidden="1" thickBot="1" x14ac:dyDescent="0.25">
      <c r="A290" s="417" t="s">
        <v>163</v>
      </c>
      <c r="B290" s="418" t="s">
        <v>135</v>
      </c>
      <c r="C290" s="433">
        <v>0.84489999999999998</v>
      </c>
      <c r="D290" s="438"/>
      <c r="E290" s="439">
        <v>0.92589999999999995</v>
      </c>
      <c r="F290" s="433"/>
      <c r="G290" s="433"/>
      <c r="H290" s="434"/>
      <c r="I290" s="30">
        <v>0.84489999999999998</v>
      </c>
      <c r="J290" s="30">
        <v>0.92589999999999995</v>
      </c>
      <c r="L290" s="80">
        <f>L276*I290</f>
        <v>15.2082</v>
      </c>
      <c r="M290" s="80">
        <f>M276*I290</f>
        <v>16.898</v>
      </c>
      <c r="O290" s="102">
        <f>O276*I290</f>
        <v>94.628799999999998</v>
      </c>
      <c r="P290" s="102">
        <f>P276*I290</f>
        <v>18.587800000000001</v>
      </c>
      <c r="R290" s="102">
        <f>R276*J290</f>
        <v>465.72769999999997</v>
      </c>
      <c r="S290" s="102">
        <f>S276*J290</f>
        <v>4571.1682999999994</v>
      </c>
      <c r="T290" s="102">
        <f>T276*J290</f>
        <v>617.57529999999997</v>
      </c>
      <c r="U290" s="102">
        <f>U276*J290</f>
        <v>929.60359999999991</v>
      </c>
      <c r="W290" s="103">
        <f>W276*K290</f>
        <v>0</v>
      </c>
      <c r="X290" s="103">
        <f>X276*K290</f>
        <v>0</v>
      </c>
      <c r="Y290" s="103">
        <f>Y276*K290</f>
        <v>0</v>
      </c>
    </row>
    <row r="291" spans="1:26" ht="13.5" hidden="1" thickBot="1" x14ac:dyDescent="0.25">
      <c r="A291" s="428" t="s">
        <v>164</v>
      </c>
      <c r="B291" s="418"/>
      <c r="C291" s="433"/>
      <c r="D291" s="438"/>
      <c r="E291" s="433"/>
      <c r="F291" s="433"/>
      <c r="G291" s="433"/>
      <c r="H291" s="434"/>
      <c r="M291" s="80"/>
      <c r="O291" s="102"/>
      <c r="P291" s="102"/>
      <c r="R291" s="102"/>
      <c r="S291" s="102"/>
      <c r="T291" s="102"/>
      <c r="U291" s="102"/>
      <c r="W291" s="103"/>
      <c r="X291" s="103"/>
      <c r="Y291" s="103"/>
    </row>
    <row r="292" spans="1:26" ht="13.5" hidden="1" thickBot="1" x14ac:dyDescent="0.25">
      <c r="A292" s="417" t="s">
        <v>165</v>
      </c>
      <c r="B292" s="418" t="s">
        <v>166</v>
      </c>
      <c r="C292" s="433"/>
      <c r="D292" s="438"/>
      <c r="E292" s="440">
        <v>40.15</v>
      </c>
      <c r="F292" s="437"/>
      <c r="G292" s="440">
        <v>40.15</v>
      </c>
      <c r="H292" s="434"/>
      <c r="J292" s="30">
        <v>40.15</v>
      </c>
      <c r="K292" s="30">
        <v>40.15</v>
      </c>
      <c r="M292" s="80"/>
      <c r="O292" s="102"/>
      <c r="P292" s="102"/>
      <c r="R292" s="103">
        <f>G292</f>
        <v>40.15</v>
      </c>
      <c r="S292" s="103">
        <f>G292</f>
        <v>40.15</v>
      </c>
      <c r="T292" s="103">
        <f>S292</f>
        <v>40.15</v>
      </c>
      <c r="U292" s="103">
        <f>S292</f>
        <v>40.15</v>
      </c>
      <c r="W292" s="103">
        <f>G292</f>
        <v>40.15</v>
      </c>
      <c r="X292" s="103">
        <f>W292</f>
        <v>40.15</v>
      </c>
      <c r="Y292" s="103">
        <f>W292</f>
        <v>40.15</v>
      </c>
    </row>
    <row r="293" spans="1:26" ht="13.5" hidden="1" thickBot="1" x14ac:dyDescent="0.25">
      <c r="A293" s="417" t="s">
        <v>167</v>
      </c>
      <c r="B293" s="418" t="s">
        <v>135</v>
      </c>
      <c r="C293" s="433">
        <v>0.7732</v>
      </c>
      <c r="D293" s="438"/>
      <c r="E293" s="437"/>
      <c r="F293" s="437"/>
      <c r="G293" s="437"/>
      <c r="H293" s="434"/>
      <c r="I293" s="30">
        <v>0.7732</v>
      </c>
      <c r="L293" s="80">
        <f>L276*I293</f>
        <v>13.9176</v>
      </c>
      <c r="M293" s="80">
        <f>M276*I293</f>
        <v>15.464</v>
      </c>
      <c r="O293" s="102">
        <f>O276*I293</f>
        <v>86.598399999999998</v>
      </c>
      <c r="P293" s="102">
        <f>P276*I293</f>
        <v>17.010400000000001</v>
      </c>
      <c r="R293" s="102">
        <f>R276*J293</f>
        <v>0</v>
      </c>
      <c r="S293" s="102">
        <f>S276*K293</f>
        <v>0</v>
      </c>
      <c r="T293" s="102">
        <f>T276*J293</f>
        <v>0</v>
      </c>
      <c r="U293" s="102">
        <f>U276*J293</f>
        <v>0</v>
      </c>
      <c r="W293" s="103">
        <f>W276*K293</f>
        <v>0</v>
      </c>
      <c r="X293" s="103">
        <f>X276*K293</f>
        <v>0</v>
      </c>
      <c r="Y293" s="103">
        <f>Y276*K293</f>
        <v>0</v>
      </c>
    </row>
    <row r="294" spans="1:26" ht="13.5" hidden="1" thickBot="1" x14ac:dyDescent="0.25">
      <c r="A294" s="428" t="s">
        <v>168</v>
      </c>
      <c r="B294" s="418"/>
      <c r="C294" s="418"/>
      <c r="D294" s="438"/>
      <c r="E294" s="437"/>
      <c r="F294" s="437"/>
      <c r="G294" s="437"/>
      <c r="H294" s="434"/>
      <c r="M294" s="80"/>
      <c r="O294" s="102"/>
      <c r="P294" s="102"/>
      <c r="R294" s="102"/>
      <c r="S294" s="102"/>
      <c r="T294" s="102"/>
      <c r="U294" s="102"/>
      <c r="W294" s="103"/>
      <c r="X294" s="103"/>
      <c r="Y294" s="103"/>
    </row>
    <row r="295" spans="1:26" ht="13.5" hidden="1" thickBot="1" x14ac:dyDescent="0.25">
      <c r="A295" s="417" t="s">
        <v>221</v>
      </c>
      <c r="B295" s="418" t="s">
        <v>170</v>
      </c>
      <c r="C295" s="433">
        <v>5</v>
      </c>
      <c r="D295" s="438"/>
      <c r="E295" s="440">
        <v>28.72</v>
      </c>
      <c r="F295" s="437"/>
      <c r="G295" s="440">
        <v>28.72</v>
      </c>
      <c r="H295" s="434"/>
      <c r="I295" s="101">
        <v>5</v>
      </c>
      <c r="J295" s="30">
        <v>28.72</v>
      </c>
      <c r="K295" s="30">
        <v>28.72</v>
      </c>
      <c r="L295" s="80">
        <v>5</v>
      </c>
      <c r="M295" s="80">
        <v>5</v>
      </c>
      <c r="O295" s="102">
        <v>5</v>
      </c>
      <c r="P295" s="102">
        <v>5</v>
      </c>
      <c r="R295" s="103">
        <f>G295</f>
        <v>28.72</v>
      </c>
      <c r="S295" s="103">
        <f>G295</f>
        <v>28.72</v>
      </c>
      <c r="T295" s="103">
        <f>S295</f>
        <v>28.72</v>
      </c>
      <c r="U295" s="103">
        <f>S295</f>
        <v>28.72</v>
      </c>
      <c r="W295" s="103">
        <f>G295</f>
        <v>28.72</v>
      </c>
      <c r="X295" s="103">
        <f>W295</f>
        <v>28.72</v>
      </c>
      <c r="Y295" s="103">
        <f>W295</f>
        <v>28.72</v>
      </c>
    </row>
    <row r="296" spans="1:26" ht="13.5" hidden="1" thickBot="1" x14ac:dyDescent="0.25">
      <c r="A296" s="417" t="s">
        <v>171</v>
      </c>
      <c r="B296" s="418" t="s">
        <v>135</v>
      </c>
      <c r="C296" s="433">
        <v>0.45689999999999997</v>
      </c>
      <c r="D296" s="433"/>
      <c r="E296" s="433"/>
      <c r="F296" s="433"/>
      <c r="G296" s="433"/>
      <c r="H296" s="434"/>
      <c r="I296" s="30">
        <v>0.45689999999999997</v>
      </c>
      <c r="L296" s="80">
        <f>L276*I296</f>
        <v>8.2241999999999997</v>
      </c>
      <c r="M296" s="80">
        <f>M276*I296</f>
        <v>9.1379999999999999</v>
      </c>
      <c r="O296" s="102">
        <f>O276*I296</f>
        <v>51.172799999999995</v>
      </c>
      <c r="P296" s="102">
        <f>P276*I296</f>
        <v>10.0518</v>
      </c>
      <c r="R296" s="102"/>
      <c r="S296" s="102"/>
      <c r="T296" s="102"/>
      <c r="U296" s="102"/>
      <c r="W296" s="103"/>
      <c r="X296" s="103"/>
      <c r="Y296" s="103"/>
    </row>
    <row r="297" spans="1:26" ht="13.5" hidden="1" thickBot="1" x14ac:dyDescent="0.25">
      <c r="A297" s="428" t="s">
        <v>172</v>
      </c>
      <c r="B297" s="418" t="s">
        <v>135</v>
      </c>
      <c r="C297" s="433" t="e">
        <f>#REF!</f>
        <v>#REF!</v>
      </c>
      <c r="D297" s="438"/>
      <c r="E297" s="439" t="e">
        <f>C297</f>
        <v>#REF!</v>
      </c>
      <c r="F297" s="439"/>
      <c r="G297" s="439" t="e">
        <f>C297</f>
        <v>#REF!</v>
      </c>
      <c r="H297" s="434"/>
      <c r="I297" s="64">
        <v>8.8300000000000003E-2</v>
      </c>
      <c r="J297" s="64">
        <f t="shared" ref="J297:J302" si="0">I297</f>
        <v>8.8300000000000003E-2</v>
      </c>
      <c r="K297" s="64">
        <f t="shared" ref="K297:K302" si="1">I297</f>
        <v>8.8300000000000003E-2</v>
      </c>
      <c r="L297" s="80">
        <f>-(L277+L278+L285+L286+L290+L293+L295+L296)*5%</f>
        <v>-7.6252300000000011</v>
      </c>
      <c r="M297" s="80">
        <f>-(M277+M278+M285+M286+M290+M293+M295+M296)*5%</f>
        <v>-8.444700000000001</v>
      </c>
      <c r="O297" s="102">
        <f>O276*I297</f>
        <v>9.8895999999999997</v>
      </c>
      <c r="P297" s="464">
        <f>P276*I297</f>
        <v>1.9426000000000001</v>
      </c>
      <c r="R297" s="102">
        <f>R276*J297</f>
        <v>44.414900000000003</v>
      </c>
      <c r="S297" s="102">
        <f>S276*J297</f>
        <v>435.93710000000004</v>
      </c>
      <c r="T297" s="102">
        <f>T276*J297</f>
        <v>58.896100000000004</v>
      </c>
      <c r="U297" s="102">
        <f>U276*J297</f>
        <v>88.653199999999998</v>
      </c>
      <c r="W297" s="103">
        <f>W276*K297</f>
        <v>-60697.420000000006</v>
      </c>
      <c r="X297" s="103">
        <f>X276*K297</f>
        <v>-68052.81</v>
      </c>
      <c r="Y297" s="103">
        <f>Y276*K297</f>
        <v>44.15</v>
      </c>
    </row>
    <row r="298" spans="1:26" ht="13.5" hidden="1" thickBot="1" x14ac:dyDescent="0.25">
      <c r="A298" s="428" t="s">
        <v>173</v>
      </c>
      <c r="B298" s="418"/>
      <c r="C298" s="433" t="e">
        <f>#REF!</f>
        <v>#REF!</v>
      </c>
      <c r="D298" s="438"/>
      <c r="E298" s="439" t="e">
        <f>C298</f>
        <v>#REF!</v>
      </c>
      <c r="F298" s="439"/>
      <c r="G298" s="439" t="e">
        <f>C298</f>
        <v>#REF!</v>
      </c>
      <c r="H298" s="434"/>
      <c r="I298" s="30">
        <v>1.2999999999999999E-3</v>
      </c>
      <c r="J298" s="64">
        <f t="shared" si="0"/>
        <v>1.2999999999999999E-3</v>
      </c>
      <c r="K298" s="64">
        <f t="shared" si="1"/>
        <v>1.2999999999999999E-3</v>
      </c>
      <c r="L298" s="106">
        <f>L276*I298</f>
        <v>2.3399999999999997E-2</v>
      </c>
      <c r="M298" s="80"/>
      <c r="O298" s="80">
        <f>-(O277+O278+O285+O286+O290+O293+O295+O296+O297)*5%</f>
        <v>-46.634799999999998</v>
      </c>
      <c r="P298" s="465">
        <f>P276*I298</f>
        <v>2.86E-2</v>
      </c>
      <c r="R298" s="107">
        <f>R276*J298</f>
        <v>0.65389999999999993</v>
      </c>
      <c r="S298" s="107">
        <f>S276*J298</f>
        <v>6.4180999999999999</v>
      </c>
      <c r="T298" s="107">
        <f>T276*J298</f>
        <v>0.86709999999999998</v>
      </c>
      <c r="U298" s="107">
        <f>U276*J298</f>
        <v>1.3051999999999999</v>
      </c>
      <c r="W298" s="104">
        <f>W276*K298</f>
        <v>-893.62</v>
      </c>
      <c r="X298" s="104">
        <f>X276*K298</f>
        <v>-1001.91</v>
      </c>
      <c r="Y298" s="104">
        <f>Y276*K298</f>
        <v>0.65</v>
      </c>
    </row>
    <row r="299" spans="1:26" ht="13.5" hidden="1" thickBot="1" x14ac:dyDescent="0.25">
      <c r="A299" s="428" t="s">
        <v>174</v>
      </c>
      <c r="B299" s="418"/>
      <c r="C299" s="433"/>
      <c r="D299" s="433"/>
      <c r="E299" s="433"/>
      <c r="F299" s="433"/>
      <c r="G299" s="433"/>
      <c r="H299" s="434"/>
      <c r="I299" s="30">
        <v>0.40039999999999998</v>
      </c>
      <c r="J299" s="64">
        <f t="shared" si="0"/>
        <v>0.40039999999999998</v>
      </c>
      <c r="K299" s="64">
        <f t="shared" si="1"/>
        <v>0.40039999999999998</v>
      </c>
      <c r="L299" s="80">
        <f>L276*I299</f>
        <v>7.2071999999999994</v>
      </c>
      <c r="M299" s="80">
        <f>M276*J299</f>
        <v>8.0079999999999991</v>
      </c>
      <c r="O299" s="80">
        <f>O276*I299</f>
        <v>44.844799999999999</v>
      </c>
      <c r="P299" s="80">
        <f>P276*I299</f>
        <v>8.8087999999999997</v>
      </c>
      <c r="R299" s="107">
        <f>R276*J299</f>
        <v>201.40119999999999</v>
      </c>
      <c r="S299" s="107">
        <f>S276*J299</f>
        <v>1976.7747999999999</v>
      </c>
      <c r="T299" s="107">
        <f>T276*J299</f>
        <v>267.0668</v>
      </c>
      <c r="U299" s="107">
        <f>U276*J299</f>
        <v>402.0016</v>
      </c>
      <c r="W299" s="80">
        <f>W276*K299</f>
        <v>-275234.95999999996</v>
      </c>
      <c r="X299" s="80">
        <f>X276*K299</f>
        <v>-308588.27999999997</v>
      </c>
      <c r="Y299" s="80">
        <f>Y276*K299</f>
        <v>200.2</v>
      </c>
    </row>
    <row r="300" spans="1:26" ht="13.5" hidden="1" thickBot="1" x14ac:dyDescent="0.25">
      <c r="A300" s="417" t="s">
        <v>175</v>
      </c>
      <c r="B300" s="418" t="s">
        <v>135</v>
      </c>
      <c r="C300" s="433">
        <f>0.1163</f>
        <v>0.1163</v>
      </c>
      <c r="D300" s="433"/>
      <c r="E300" s="433">
        <f>C300</f>
        <v>0.1163</v>
      </c>
      <c r="F300" s="433"/>
      <c r="G300" s="433">
        <f>C300</f>
        <v>0.1163</v>
      </c>
      <c r="H300" s="441"/>
      <c r="I300" s="30">
        <v>0.1163</v>
      </c>
      <c r="J300" s="64">
        <f t="shared" si="0"/>
        <v>0.1163</v>
      </c>
      <c r="K300" s="64">
        <f t="shared" si="1"/>
        <v>0.1163</v>
      </c>
      <c r="L300" s="80">
        <f>L276*I300</f>
        <v>2.0933999999999999</v>
      </c>
      <c r="M300" s="80">
        <f>M276*I300</f>
        <v>2.3260000000000001</v>
      </c>
      <c r="O300" s="80">
        <f>O276*I300</f>
        <v>13.025600000000001</v>
      </c>
      <c r="P300" s="80">
        <f>P276*I300</f>
        <v>2.5586000000000002</v>
      </c>
      <c r="R300" s="80">
        <f>R276*J300</f>
        <v>58.498899999999999</v>
      </c>
      <c r="S300" s="80">
        <f>S276*J300</f>
        <v>574.17309999999998</v>
      </c>
      <c r="T300" s="80">
        <f>T276*J300</f>
        <v>77.572100000000006</v>
      </c>
      <c r="U300" s="80">
        <f>U276*J300</f>
        <v>116.76520000000001</v>
      </c>
      <c r="W300" s="97">
        <f>W276*K300</f>
        <v>-79944.62</v>
      </c>
      <c r="X300" s="97">
        <f>X276*K300</f>
        <v>-89632.41</v>
      </c>
      <c r="Y300" s="97">
        <f>Y276*K300</f>
        <v>58.15</v>
      </c>
    </row>
    <row r="301" spans="1:26" ht="13.5" hidden="1" thickBot="1" x14ac:dyDescent="0.25">
      <c r="A301" s="417" t="s">
        <v>176</v>
      </c>
      <c r="B301" s="418" t="s">
        <v>135</v>
      </c>
      <c r="C301" s="433">
        <v>2.5000000000000001E-3</v>
      </c>
      <c r="D301" s="433"/>
      <c r="E301" s="433">
        <v>2.5000000000000001E-3</v>
      </c>
      <c r="F301" s="433"/>
      <c r="G301" s="439">
        <f>C301</f>
        <v>2.5000000000000001E-3</v>
      </c>
      <c r="H301" s="434"/>
      <c r="I301" s="30">
        <v>2.5000000000000001E-3</v>
      </c>
      <c r="J301" s="64">
        <f t="shared" si="0"/>
        <v>2.5000000000000001E-3</v>
      </c>
      <c r="K301" s="64">
        <f t="shared" si="1"/>
        <v>2.5000000000000001E-3</v>
      </c>
      <c r="L301" s="80">
        <f>$L$141*I301</f>
        <v>1.7500000000000002E-2</v>
      </c>
      <c r="M301" s="80">
        <f>M276*I301</f>
        <v>0.05</v>
      </c>
      <c r="O301" s="80">
        <f>O276*I301</f>
        <v>0.28000000000000003</v>
      </c>
      <c r="P301" s="80">
        <f>P276*I301</f>
        <v>5.5E-2</v>
      </c>
      <c r="R301" s="80">
        <f>R276*J301</f>
        <v>1.2575000000000001</v>
      </c>
      <c r="S301" s="80">
        <f>S276*J301</f>
        <v>12.342500000000001</v>
      </c>
      <c r="T301" s="80">
        <f>T276*J301</f>
        <v>1.6675</v>
      </c>
      <c r="U301" s="80">
        <f>U276*J301</f>
        <v>2.5100000000000002</v>
      </c>
      <c r="W301" s="97">
        <f>W276*K301</f>
        <v>-1718.5</v>
      </c>
      <c r="X301" s="97">
        <f>X276*K301</f>
        <v>-1926.75</v>
      </c>
      <c r="Y301" s="97">
        <f>Y276*K301</f>
        <v>1.25</v>
      </c>
    </row>
    <row r="302" spans="1:26" ht="13.5" hidden="1" thickBot="1" x14ac:dyDescent="0.25">
      <c r="A302" s="417" t="s">
        <v>200</v>
      </c>
      <c r="B302" s="418" t="s">
        <v>135</v>
      </c>
      <c r="C302" s="433">
        <f>0.1938</f>
        <v>0.1938</v>
      </c>
      <c r="D302" s="433"/>
      <c r="E302" s="433">
        <f>C302</f>
        <v>0.1938</v>
      </c>
      <c r="F302" s="433"/>
      <c r="G302" s="439">
        <f>C302</f>
        <v>0.1938</v>
      </c>
      <c r="H302" s="441"/>
      <c r="I302" s="30">
        <v>0.1938</v>
      </c>
      <c r="J302" s="64">
        <f t="shared" si="0"/>
        <v>0.1938</v>
      </c>
      <c r="K302" s="64">
        <f t="shared" si="1"/>
        <v>0.1938</v>
      </c>
      <c r="L302" s="80">
        <f>$L$141*I302</f>
        <v>1.3566</v>
      </c>
      <c r="M302" s="80">
        <f>M276*I302</f>
        <v>3.8759999999999999</v>
      </c>
      <c r="O302" s="80">
        <f>O276*I302</f>
        <v>21.7056</v>
      </c>
      <c r="P302" s="80">
        <f>P276*I302</f>
        <v>4.2636000000000003</v>
      </c>
      <c r="R302" s="80">
        <f>R276*J302</f>
        <v>97.481399999999994</v>
      </c>
      <c r="S302" s="80">
        <f>S276*J302</f>
        <v>956.79060000000004</v>
      </c>
      <c r="T302" s="80">
        <f>T276*J302</f>
        <v>129.2646</v>
      </c>
      <c r="U302" s="80">
        <f>U276*J302</f>
        <v>194.5752</v>
      </c>
      <c r="W302" s="97">
        <f>W276*K302</f>
        <v>-133218.12</v>
      </c>
      <c r="X302" s="97">
        <f>X276*K302</f>
        <v>-149361.66</v>
      </c>
      <c r="Y302" s="97">
        <f>Y276*K302</f>
        <v>96.9</v>
      </c>
    </row>
    <row r="303" spans="1:26" ht="13.5" hidden="1" thickBot="1" x14ac:dyDescent="0.25">
      <c r="A303" s="442" t="s">
        <v>182</v>
      </c>
      <c r="B303" s="418"/>
      <c r="C303" s="433"/>
      <c r="D303" s="433"/>
      <c r="E303" s="433"/>
      <c r="F303" s="433"/>
      <c r="G303" s="439"/>
      <c r="H303" s="441"/>
      <c r="I303" s="64"/>
      <c r="J303" s="64"/>
      <c r="K303" s="64"/>
      <c r="L303" s="80">
        <f>L276*I303</f>
        <v>0</v>
      </c>
      <c r="M303" s="80">
        <f>M276*I303</f>
        <v>0</v>
      </c>
      <c r="O303" s="80">
        <f>O276*I303</f>
        <v>0</v>
      </c>
      <c r="P303" s="80">
        <f>P276*I303</f>
        <v>0</v>
      </c>
      <c r="R303" s="80">
        <f>R276*J303</f>
        <v>0</v>
      </c>
      <c r="S303" s="80">
        <f>S276*J303</f>
        <v>0</v>
      </c>
      <c r="T303" s="80">
        <f>T276*J303</f>
        <v>0</v>
      </c>
      <c r="U303" s="80">
        <f>U276*J303</f>
        <v>0</v>
      </c>
      <c r="W303" s="97">
        <f>W276*K303</f>
        <v>0</v>
      </c>
      <c r="X303" s="97">
        <f>X276*K303</f>
        <v>0</v>
      </c>
      <c r="Y303" s="97">
        <f>Y276*K303</f>
        <v>0</v>
      </c>
    </row>
    <row r="304" spans="1:26" ht="13.5" hidden="1" thickBot="1" x14ac:dyDescent="0.25">
      <c r="A304" s="417" t="s">
        <v>211</v>
      </c>
      <c r="B304" s="418" t="s">
        <v>135</v>
      </c>
      <c r="C304" s="433" t="e">
        <f>#REF!</f>
        <v>#REF!</v>
      </c>
      <c r="D304" s="433"/>
      <c r="E304" s="433" t="e">
        <f>C304</f>
        <v>#REF!</v>
      </c>
      <c r="F304" s="433"/>
      <c r="G304" s="439" t="e">
        <f>C304</f>
        <v>#REF!</v>
      </c>
      <c r="H304" s="441"/>
      <c r="I304" s="30">
        <v>4.7699999999999999E-2</v>
      </c>
      <c r="J304" s="64">
        <f t="shared" ref="J304:K306" si="2">I304</f>
        <v>4.7699999999999999E-2</v>
      </c>
      <c r="K304" s="64">
        <f t="shared" si="2"/>
        <v>4.7699999999999999E-2</v>
      </c>
      <c r="L304" s="115">
        <f>SUM(L277:L303)</f>
        <v>151.42307000000005</v>
      </c>
      <c r="M304" s="116">
        <f>SUM(M277:M303)</f>
        <v>170.09330000000003</v>
      </c>
      <c r="N304" s="30" t="s">
        <v>180</v>
      </c>
      <c r="O304" s="80">
        <f>O276*I304</f>
        <v>5.3423999999999996</v>
      </c>
      <c r="P304" s="80">
        <f>P276*I304</f>
        <v>1.0493999999999999</v>
      </c>
      <c r="R304" s="80">
        <f>R276*J304</f>
        <v>23.993099999999998</v>
      </c>
      <c r="S304" s="80">
        <f>S276*J304</f>
        <v>235.4949</v>
      </c>
      <c r="T304" s="80">
        <f>T276*J304</f>
        <v>31.815899999999999</v>
      </c>
      <c r="U304" s="80">
        <f>U276*J304</f>
        <v>47.890799999999999</v>
      </c>
      <c r="W304" s="80">
        <f>W276*O304</f>
        <v>-3672365.76</v>
      </c>
      <c r="X304" s="80">
        <f>X276*O304</f>
        <v>-4117387.6799999997</v>
      </c>
      <c r="Y304" s="80">
        <f>Y276*O304</f>
        <v>2671.2</v>
      </c>
      <c r="Z304" s="80">
        <f>Z276*O304</f>
        <v>2671.2</v>
      </c>
    </row>
    <row r="305" spans="1:26" ht="13.5" hidden="1" thickBot="1" x14ac:dyDescent="0.25">
      <c r="A305" s="417" t="s">
        <v>212</v>
      </c>
      <c r="B305" s="418" t="s">
        <v>135</v>
      </c>
      <c r="C305" s="433" t="e">
        <f>#REF!</f>
        <v>#REF!</v>
      </c>
      <c r="D305" s="433"/>
      <c r="E305" s="433" t="e">
        <f>C305</f>
        <v>#REF!</v>
      </c>
      <c r="F305" s="433"/>
      <c r="G305" s="439" t="e">
        <f>C305</f>
        <v>#REF!</v>
      </c>
      <c r="H305" s="441"/>
      <c r="I305" s="30">
        <v>1.5E-3</v>
      </c>
      <c r="J305" s="64">
        <f t="shared" si="2"/>
        <v>1.5E-3</v>
      </c>
      <c r="K305" s="64">
        <f t="shared" si="2"/>
        <v>1.5E-3</v>
      </c>
      <c r="N305" s="30" t="s">
        <v>183</v>
      </c>
      <c r="O305" s="80">
        <f>O276*I305</f>
        <v>0.16800000000000001</v>
      </c>
      <c r="P305" s="80">
        <f>P276*I305</f>
        <v>3.3000000000000002E-2</v>
      </c>
      <c r="R305" s="80">
        <f>R276*J305</f>
        <v>0.75450000000000006</v>
      </c>
      <c r="S305" s="80">
        <f>S276*J305</f>
        <v>7.4055</v>
      </c>
      <c r="T305" s="80">
        <f>T276*J305</f>
        <v>1.0004999999999999</v>
      </c>
      <c r="U305" s="80">
        <f>U276*J305</f>
        <v>1.506</v>
      </c>
      <c r="W305" s="80">
        <f>W276*O305</f>
        <v>-115483.20000000001</v>
      </c>
      <c r="X305" s="80">
        <f>X276*O305</f>
        <v>-129477.6</v>
      </c>
      <c r="Y305" s="80">
        <f>Y276*O305</f>
        <v>84</v>
      </c>
      <c r="Z305" s="80">
        <f>Z276*O305</f>
        <v>84</v>
      </c>
    </row>
    <row r="306" spans="1:26" ht="13.5" hidden="1" thickBot="1" x14ac:dyDescent="0.25">
      <c r="A306" s="417" t="s">
        <v>213</v>
      </c>
      <c r="B306" s="418" t="s">
        <v>135</v>
      </c>
      <c r="C306" s="433" t="e">
        <f>#REF!</f>
        <v>#REF!</v>
      </c>
      <c r="D306" s="433"/>
      <c r="E306" s="433" t="e">
        <f>C306</f>
        <v>#REF!</v>
      </c>
      <c r="F306" s="433"/>
      <c r="G306" s="438" t="e">
        <f>C306</f>
        <v>#REF!</v>
      </c>
      <c r="H306" s="441"/>
      <c r="I306" s="30">
        <v>6.1999999999999998E-3</v>
      </c>
      <c r="J306" s="64">
        <f t="shared" si="2"/>
        <v>6.1999999999999998E-3</v>
      </c>
      <c r="K306" s="64">
        <f t="shared" si="2"/>
        <v>6.1999999999999998E-3</v>
      </c>
      <c r="N306" s="30" t="s">
        <v>186</v>
      </c>
      <c r="O306" s="80">
        <f>O276*I306</f>
        <v>0.69440000000000002</v>
      </c>
      <c r="P306" s="80">
        <f>P276*I306</f>
        <v>0.13639999999999999</v>
      </c>
      <c r="R306" s="80">
        <f>R276*J306</f>
        <v>3.1185999999999998</v>
      </c>
      <c r="S306" s="80">
        <f>S276*J306</f>
        <v>30.609399999999997</v>
      </c>
      <c r="T306" s="80">
        <f>T276*J306</f>
        <v>4.1353999999999997</v>
      </c>
      <c r="U306" s="80">
        <f>U276*J306</f>
        <v>6.2248000000000001</v>
      </c>
      <c r="W306" s="80">
        <f>W276*O306</f>
        <v>-477330.56</v>
      </c>
      <c r="X306" s="80">
        <f>X276*O306</f>
        <v>-535174.07999999996</v>
      </c>
      <c r="Y306" s="80">
        <f>Y276*O306</f>
        <v>347.2</v>
      </c>
      <c r="Z306" s="80">
        <f>Z276*O306</f>
        <v>347.2</v>
      </c>
    </row>
    <row r="307" spans="1:26" ht="13.5" hidden="1" thickBot="1" x14ac:dyDescent="0.25">
      <c r="A307" s="417" t="s">
        <v>214</v>
      </c>
      <c r="B307" s="418" t="s">
        <v>215</v>
      </c>
      <c r="C307" s="443">
        <v>0.12</v>
      </c>
      <c r="D307" s="433"/>
      <c r="E307" s="443">
        <v>0.12</v>
      </c>
      <c r="F307" s="433"/>
      <c r="G307" s="443">
        <v>0.12</v>
      </c>
      <c r="H307" s="441"/>
      <c r="I307" s="64"/>
      <c r="J307" s="64"/>
      <c r="K307" s="64"/>
      <c r="L307" s="107" t="s">
        <v>182</v>
      </c>
      <c r="O307" s="80">
        <f>O280*I307</f>
        <v>0</v>
      </c>
      <c r="P307" s="80">
        <f>P280*I307</f>
        <v>0</v>
      </c>
      <c r="R307" s="80"/>
      <c r="S307" s="80"/>
      <c r="T307" s="80"/>
      <c r="U307" s="80">
        <f>U280*J307</f>
        <v>0</v>
      </c>
      <c r="W307" s="80"/>
      <c r="X307" s="80"/>
      <c r="Y307" s="80"/>
      <c r="Z307" s="80">
        <f>Z280*O307</f>
        <v>0</v>
      </c>
    </row>
    <row r="308" spans="1:26" ht="13.5" hidden="1" thickBot="1" x14ac:dyDescent="0.25">
      <c r="A308" s="444" t="s">
        <v>177</v>
      </c>
      <c r="B308" s="445" t="s">
        <v>135</v>
      </c>
      <c r="C308" s="446">
        <v>0.40039999999999998</v>
      </c>
      <c r="D308" s="446"/>
      <c r="E308" s="446">
        <v>0.40039999999999998</v>
      </c>
      <c r="F308" s="446"/>
      <c r="G308" s="447">
        <f>C308</f>
        <v>0.40039999999999998</v>
      </c>
      <c r="H308" s="448"/>
      <c r="I308" s="64"/>
      <c r="J308" s="64"/>
      <c r="K308" s="64"/>
      <c r="N308" s="30" t="s">
        <v>191</v>
      </c>
      <c r="O308" s="121">
        <f>(SUM(O282,O290:O297))*12%</f>
        <v>26.572799999999997</v>
      </c>
      <c r="P308" s="121">
        <f>(SUM(P282,P290:P297))*12%</f>
        <v>5.7017999999999995</v>
      </c>
      <c r="R308" s="121">
        <f>(SUM(R282,R290:R297))*12%</f>
        <v>69.481511999999981</v>
      </c>
      <c r="S308" s="121">
        <f>(SUM(S282,S290:S297))*12%</f>
        <v>609.11704799999995</v>
      </c>
      <c r="T308" s="121">
        <f>(SUM(T282,T290:T297))*12%</f>
        <v>89.440967999999998</v>
      </c>
      <c r="U308" s="121">
        <f>(SUM(U282,U290:U297))*12%</f>
        <v>130.45521600000001</v>
      </c>
      <c r="W308" s="121">
        <f>(SUM(W282,W290:W297))*12%</f>
        <v>-7275.4260000000004</v>
      </c>
      <c r="X308" s="121">
        <f>(SUM(X282,X290:X297))*12%</f>
        <v>-8158.0727999999999</v>
      </c>
      <c r="Y308" s="121">
        <f>(SUM(Y282,Y290:Y297))*12%</f>
        <v>13.5624</v>
      </c>
      <c r="Z308" s="121">
        <f>(SUM(Z282,Z290:Z297))*12%</f>
        <v>0</v>
      </c>
    </row>
    <row r="309" spans="1:26" ht="13.5" hidden="1" thickBot="1" x14ac:dyDescent="0.25">
      <c r="A309" s="449" t="s">
        <v>178</v>
      </c>
      <c r="B309" s="450"/>
      <c r="C309" s="451" t="e">
        <f>C281+C282+C285+C286+C290+C293+C296+C297+C298+C300+C301+C302+C304+C305+C306+C308</f>
        <v>#REF!</v>
      </c>
      <c r="D309" s="452"/>
      <c r="E309" s="451" t="e">
        <f>E281+E285+E286+E290+E297+E298+E300+E301+E302+E304+E305+E306+E308</f>
        <v>#REF!</v>
      </c>
      <c r="F309" s="452"/>
      <c r="G309" s="451" t="e">
        <f>G281+G282+G285+G286+G290+G293+G296+G297+G298+G300+G301+G302+G304+G305+G306+G308</f>
        <v>#REF!</v>
      </c>
      <c r="H309" s="453"/>
      <c r="I309" s="64"/>
      <c r="J309" s="64"/>
      <c r="K309" s="64"/>
      <c r="O309" s="116">
        <f>SUM(O304:O308)</f>
        <v>32.7776</v>
      </c>
      <c r="P309" s="116">
        <f>SUM(P277:P308)</f>
        <v>204.78360000000001</v>
      </c>
      <c r="R309" s="116">
        <f>SUM(R277:R308)</f>
        <v>4113.8623120000002</v>
      </c>
      <c r="S309" s="116">
        <f>SUM(S277:S308)</f>
        <v>39698.060248000009</v>
      </c>
      <c r="T309" s="116">
        <f>SUM(T277:T308)</f>
        <v>5430.0121679999993</v>
      </c>
      <c r="U309" s="116">
        <f>SUM(U277:U308)</f>
        <v>8134.539616</v>
      </c>
      <c r="W309" s="116">
        <f>SUM(W277:W308)</f>
        <v>-8464462.0200000014</v>
      </c>
      <c r="X309" s="116">
        <f>SUM(X277:X308)</f>
        <v>-9460419.6609999985</v>
      </c>
      <c r="Y309" s="116">
        <f>SUM(Y277:Y308)</f>
        <v>391789.55820000009</v>
      </c>
      <c r="Z309" s="116">
        <f>SUM(Z277:Z308)</f>
        <v>3102.3999999999996</v>
      </c>
    </row>
    <row r="310" spans="1:26" ht="13.5" hidden="1" thickBot="1" x14ac:dyDescent="0.25">
      <c r="A310" s="449" t="s">
        <v>179</v>
      </c>
      <c r="B310" s="450" t="s">
        <v>166</v>
      </c>
      <c r="C310" s="454">
        <f>C295</f>
        <v>5</v>
      </c>
      <c r="D310" s="454"/>
      <c r="E310" s="454">
        <f>E292+E295</f>
        <v>68.87</v>
      </c>
      <c r="F310" s="454"/>
      <c r="G310" s="454">
        <f>G292+G295</f>
        <v>68.87</v>
      </c>
      <c r="H310" s="453"/>
    </row>
    <row r="311" spans="1:26" ht="14.25" hidden="1" thickTop="1" thickBot="1" x14ac:dyDescent="0.25">
      <c r="A311" s="449" t="s">
        <v>216</v>
      </c>
      <c r="B311" s="455" t="s">
        <v>158</v>
      </c>
      <c r="C311" s="451"/>
      <c r="D311" s="451"/>
      <c r="E311" s="451"/>
      <c r="F311" s="451"/>
      <c r="G311" s="454">
        <f>G289</f>
        <v>267.89999999999998</v>
      </c>
      <c r="H311" s="453"/>
      <c r="R311" s="122"/>
    </row>
    <row r="312" spans="1:26" ht="13.5" hidden="1" thickBot="1" x14ac:dyDescent="0.25">
      <c r="A312" s="417"/>
      <c r="B312" s="418"/>
      <c r="C312" s="433" t="e">
        <f>C309-C304-C305-C306</f>
        <v>#REF!</v>
      </c>
      <c r="D312" s="418"/>
      <c r="E312" s="418"/>
      <c r="F312" s="418"/>
      <c r="G312" s="418"/>
      <c r="H312" s="419"/>
      <c r="J312" s="64"/>
      <c r="K312" s="64"/>
      <c r="P312" s="121">
        <f>P300+P301+P302+P299</f>
        <v>15.686</v>
      </c>
    </row>
    <row r="313" spans="1:26" ht="13.5" hidden="1" thickBot="1" x14ac:dyDescent="0.25">
      <c r="A313" s="456" t="s">
        <v>5</v>
      </c>
      <c r="B313" s="457" t="s">
        <v>218</v>
      </c>
      <c r="C313" s="458"/>
      <c r="D313" s="418"/>
      <c r="E313" s="458" t="s">
        <v>193</v>
      </c>
      <c r="F313" s="458" t="s">
        <v>193</v>
      </c>
      <c r="G313" s="458"/>
      <c r="H313" s="419"/>
      <c r="I313" s="64"/>
      <c r="J313" s="64"/>
      <c r="K313" s="64"/>
      <c r="P313" s="415"/>
    </row>
    <row r="314" spans="1:26" ht="13.5" hidden="1" thickBot="1" x14ac:dyDescent="0.25">
      <c r="A314" s="456"/>
      <c r="B314" s="457"/>
      <c r="C314" s="458"/>
      <c r="D314" s="418"/>
      <c r="E314" s="458"/>
      <c r="F314" s="458" t="s">
        <v>193</v>
      </c>
      <c r="G314" s="458"/>
      <c r="H314" s="419"/>
      <c r="I314" s="64"/>
      <c r="J314" s="64"/>
      <c r="K314" s="64"/>
    </row>
    <row r="315" spans="1:26" ht="13.5" hidden="1" thickBot="1" x14ac:dyDescent="0.25">
      <c r="A315" s="456"/>
      <c r="B315" s="457"/>
      <c r="C315" s="458"/>
      <c r="D315" s="418"/>
      <c r="E315" s="458"/>
      <c r="F315" s="458" t="s">
        <v>193</v>
      </c>
      <c r="G315" s="458"/>
      <c r="H315" s="419"/>
      <c r="P315" s="122"/>
    </row>
    <row r="316" spans="1:26" ht="13.5" hidden="1" thickBot="1" x14ac:dyDescent="0.25">
      <c r="A316" s="456"/>
      <c r="B316" s="457"/>
      <c r="C316" s="457"/>
      <c r="D316" s="418"/>
      <c r="E316" s="457"/>
      <c r="F316" s="457"/>
      <c r="G316" s="457"/>
      <c r="H316" s="419"/>
      <c r="P316" s="122"/>
    </row>
    <row r="317" spans="1:26" ht="13.5" hidden="1" thickBot="1" x14ac:dyDescent="0.25">
      <c r="A317" s="459" t="s">
        <v>14</v>
      </c>
      <c r="B317" s="460" t="s">
        <v>219</v>
      </c>
      <c r="C317" s="460"/>
      <c r="D317" s="418"/>
      <c r="E317" s="460" t="s">
        <v>195</v>
      </c>
      <c r="F317" s="460" t="s">
        <v>195</v>
      </c>
      <c r="G317" s="460"/>
      <c r="H317" s="419"/>
    </row>
    <row r="318" spans="1:26" ht="13.5" hidden="1" thickBot="1" x14ac:dyDescent="0.25">
      <c r="A318" s="461" t="s">
        <v>217</v>
      </c>
      <c r="B318" s="462" t="s">
        <v>12</v>
      </c>
      <c r="C318" s="462"/>
      <c r="D318" s="420"/>
      <c r="E318" s="462" t="s">
        <v>197</v>
      </c>
      <c r="F318" s="462" t="s">
        <v>197</v>
      </c>
      <c r="G318" s="462"/>
      <c r="H318" s="421"/>
    </row>
    <row r="319" spans="1:26" ht="13.5" hidden="1" thickBot="1" x14ac:dyDescent="0.25">
      <c r="A319" s="466" t="s">
        <v>64</v>
      </c>
      <c r="B319" s="467"/>
      <c r="C319" s="467"/>
      <c r="D319" s="467"/>
      <c r="E319" s="467"/>
      <c r="F319" s="467"/>
      <c r="G319" s="467"/>
      <c r="H319" s="468"/>
    </row>
    <row r="320" spans="1:26" ht="13.5" hidden="1" thickBot="1" x14ac:dyDescent="0.25">
      <c r="A320" s="469" t="s">
        <v>0</v>
      </c>
      <c r="B320" s="69"/>
      <c r="C320" s="69"/>
      <c r="D320" s="69"/>
      <c r="E320" s="69"/>
      <c r="F320" s="69"/>
      <c r="G320" s="69"/>
      <c r="H320" s="470"/>
    </row>
    <row r="321" spans="1:26" ht="13.5" hidden="1" thickBot="1" x14ac:dyDescent="0.25">
      <c r="A321" s="469"/>
      <c r="B321" s="69"/>
      <c r="C321" s="69"/>
      <c r="D321" s="69"/>
      <c r="E321" s="69"/>
      <c r="F321" s="69"/>
      <c r="G321" s="69"/>
      <c r="H321" s="470"/>
    </row>
    <row r="322" spans="1:26" ht="13.5" hidden="1" thickBot="1" x14ac:dyDescent="0.25">
      <c r="A322" s="471" t="s">
        <v>60</v>
      </c>
      <c r="B322" s="69"/>
      <c r="C322" s="69"/>
      <c r="D322" s="69"/>
      <c r="E322" s="69"/>
      <c r="F322" s="69"/>
      <c r="G322" s="69"/>
      <c r="H322" s="470"/>
      <c r="W322" s="34" t="s">
        <v>143</v>
      </c>
      <c r="X322" s="34" t="s">
        <v>144</v>
      </c>
      <c r="Y322" s="34" t="s">
        <v>1</v>
      </c>
      <c r="Z322" s="34" t="s">
        <v>222</v>
      </c>
    </row>
    <row r="323" spans="1:26" ht="13.5" hidden="1" thickBot="1" x14ac:dyDescent="0.25">
      <c r="A323" s="472" t="s">
        <v>223</v>
      </c>
      <c r="B323" s="69"/>
      <c r="C323" s="69"/>
      <c r="D323" s="69"/>
      <c r="E323" s="69"/>
      <c r="F323" s="69"/>
      <c r="G323" s="69"/>
      <c r="H323" s="470"/>
      <c r="W323" s="83" t="s">
        <v>145</v>
      </c>
      <c r="X323" s="83" t="s">
        <v>145</v>
      </c>
      <c r="Y323" s="83" t="s">
        <v>145</v>
      </c>
      <c r="Z323" s="83" t="s">
        <v>145</v>
      </c>
    </row>
    <row r="324" spans="1:26" ht="13.5" hidden="1" thickBot="1" x14ac:dyDescent="0.25">
      <c r="A324" s="472"/>
      <c r="B324" s="69"/>
      <c r="C324" s="69"/>
      <c r="D324" s="69"/>
      <c r="E324" s="69"/>
      <c r="F324" s="69"/>
      <c r="G324" s="69"/>
      <c r="H324" s="470"/>
      <c r="L324" s="257" t="s">
        <v>146</v>
      </c>
      <c r="M324" s="75" t="s">
        <v>6</v>
      </c>
      <c r="N324" s="75"/>
      <c r="O324" s="257" t="s">
        <v>146</v>
      </c>
      <c r="P324" s="413" t="s">
        <v>6</v>
      </c>
      <c r="R324" s="85" t="s">
        <v>147</v>
      </c>
      <c r="S324" s="85" t="s">
        <v>147</v>
      </c>
      <c r="T324" s="85" t="s">
        <v>147</v>
      </c>
      <c r="U324" s="85" t="s">
        <v>147</v>
      </c>
      <c r="W324" s="86">
        <f>0.2*700</f>
        <v>140</v>
      </c>
      <c r="X324" s="86">
        <f>0.31*700</f>
        <v>217</v>
      </c>
      <c r="Y324" s="86">
        <f>0.37*2100</f>
        <v>777</v>
      </c>
      <c r="Z324" s="86">
        <f>0.37*2100</f>
        <v>777</v>
      </c>
    </row>
    <row r="325" spans="1:26" ht="13.5" hidden="1" thickBot="1" x14ac:dyDescent="0.25">
      <c r="A325" s="1021"/>
      <c r="B325" s="976"/>
      <c r="C325" s="162" t="s">
        <v>6</v>
      </c>
      <c r="D325" s="977" t="s">
        <v>47</v>
      </c>
      <c r="E325" s="978"/>
      <c r="F325" s="979"/>
      <c r="G325" s="977" t="s">
        <v>13</v>
      </c>
      <c r="H325" s="1022"/>
      <c r="I325" s="501" t="s">
        <v>6</v>
      </c>
      <c r="J325" s="162" t="s">
        <v>47</v>
      </c>
      <c r="K325" s="162" t="s">
        <v>13</v>
      </c>
      <c r="L325" s="257" t="s">
        <v>130</v>
      </c>
      <c r="M325" s="260" t="s">
        <v>148</v>
      </c>
      <c r="N325" s="75"/>
      <c r="O325" s="257" t="s">
        <v>130</v>
      </c>
      <c r="P325" s="414" t="s">
        <v>130</v>
      </c>
      <c r="R325" s="80" t="s">
        <v>130</v>
      </c>
      <c r="S325" s="80" t="s">
        <v>130</v>
      </c>
      <c r="T325" s="80" t="s">
        <v>130</v>
      </c>
      <c r="U325" s="80" t="s">
        <v>130</v>
      </c>
      <c r="W325" s="89" t="s">
        <v>130</v>
      </c>
      <c r="X325" s="89" t="s">
        <v>130</v>
      </c>
      <c r="Y325" s="89" t="s">
        <v>130</v>
      </c>
      <c r="Z325" s="89" t="s">
        <v>130</v>
      </c>
    </row>
    <row r="326" spans="1:26" ht="13.5" hidden="1" thickBot="1" x14ac:dyDescent="0.25">
      <c r="A326" s="471" t="s">
        <v>149</v>
      </c>
      <c r="B326" s="69"/>
      <c r="C326" s="164"/>
      <c r="D326" s="164"/>
      <c r="E326" s="164"/>
      <c r="F326" s="164"/>
      <c r="G326" s="164"/>
      <c r="H326" s="473"/>
      <c r="J326" s="93"/>
      <c r="L326" s="93">
        <v>18</v>
      </c>
      <c r="M326" s="93">
        <v>17</v>
      </c>
      <c r="O326" s="93">
        <v>112</v>
      </c>
      <c r="P326" s="93">
        <v>77</v>
      </c>
      <c r="R326" s="93">
        <v>102</v>
      </c>
      <c r="S326" s="93">
        <v>4937</v>
      </c>
      <c r="T326" s="93">
        <v>667</v>
      </c>
      <c r="U326" s="93">
        <v>15724</v>
      </c>
      <c r="W326" s="94">
        <f>(0-982)*700</f>
        <v>-687400</v>
      </c>
      <c r="X326" s="94">
        <f>(0-1101)*700</f>
        <v>-770700</v>
      </c>
      <c r="Y326" s="94">
        <v>500</v>
      </c>
      <c r="Z326" s="94">
        <v>500</v>
      </c>
    </row>
    <row r="327" spans="1:26" ht="13.5" hidden="1" thickBot="1" x14ac:dyDescent="0.25">
      <c r="A327" s="469" t="s">
        <v>150</v>
      </c>
      <c r="B327" s="69" t="s">
        <v>135</v>
      </c>
      <c r="C327" s="167" t="e">
        <f>C331-C328-C329-C330</f>
        <v>#REF!</v>
      </c>
      <c r="D327" s="167"/>
      <c r="E327" s="167" t="e">
        <f>E331-E328-E329-E330</f>
        <v>#REF!</v>
      </c>
      <c r="F327" s="167"/>
      <c r="G327" s="167" t="e">
        <f>G331-G328-G329-G330</f>
        <v>#REF!</v>
      </c>
      <c r="H327" s="470"/>
      <c r="I327" s="30">
        <v>3.4733000000000001</v>
      </c>
      <c r="J327" s="30">
        <f>I327</f>
        <v>3.4733000000000001</v>
      </c>
      <c r="K327" s="30">
        <f>J327</f>
        <v>3.4733000000000001</v>
      </c>
      <c r="L327" s="80">
        <f>L326*(I327+I329+I330)</f>
        <v>73.427400000000006</v>
      </c>
      <c r="M327" s="80">
        <f>M326*(I327+I329+I330)</f>
        <v>69.348100000000002</v>
      </c>
      <c r="O327" s="80">
        <f>O326*(I327+I329+I330)</f>
        <v>456.88159999999999</v>
      </c>
      <c r="P327" s="80">
        <f>P326*(I327+I329+I330)</f>
        <v>314.10609999999997</v>
      </c>
      <c r="R327" s="80">
        <f>R326*(J327+J329+J330)</f>
        <v>416.08859999999999</v>
      </c>
      <c r="S327" s="80">
        <f>S326*(J327+J329+J330)</f>
        <v>20139.504099999998</v>
      </c>
      <c r="T327" s="80">
        <f>T326*(J327+J329+J330)</f>
        <v>2720.8930999999998</v>
      </c>
      <c r="U327" s="80">
        <f>U326*(J327+J329+J330)</f>
        <v>64142.913199999995</v>
      </c>
      <c r="W327" s="97">
        <f>W326*(K327+K329+K330)</f>
        <v>-2804110.82</v>
      </c>
      <c r="X327" s="97">
        <f>X326*(K327+K329+K330)</f>
        <v>-3143916.51</v>
      </c>
      <c r="Y327" s="97">
        <f>Y326*(K327+K329+K330)</f>
        <v>2039.6499999999999</v>
      </c>
    </row>
    <row r="328" spans="1:26" ht="13.5" hidden="1" thickBot="1" x14ac:dyDescent="0.25">
      <c r="A328" s="469" t="s">
        <v>151</v>
      </c>
      <c r="B328" s="69" t="s">
        <v>135</v>
      </c>
      <c r="C328" s="167">
        <v>1.77E-2</v>
      </c>
      <c r="D328" s="167"/>
      <c r="E328" s="167">
        <v>1.77E-2</v>
      </c>
      <c r="F328" s="167"/>
      <c r="G328" s="167">
        <v>1.77E-2</v>
      </c>
      <c r="H328" s="474"/>
      <c r="I328" s="30">
        <v>1.77E-2</v>
      </c>
      <c r="J328" s="30">
        <v>1.77E-2</v>
      </c>
      <c r="K328" s="30">
        <v>1.77E-2</v>
      </c>
      <c r="L328" s="80">
        <f>L326*I328</f>
        <v>0.31859999999999999</v>
      </c>
      <c r="M328" s="80">
        <f>M326*I328</f>
        <v>0.3009</v>
      </c>
      <c r="O328" s="80">
        <f>O326*I328</f>
        <v>1.9824000000000002</v>
      </c>
      <c r="P328" s="80">
        <f>P326*I328</f>
        <v>1.3629</v>
      </c>
      <c r="R328" s="80">
        <f>R326*J328</f>
        <v>1.8054000000000001</v>
      </c>
      <c r="S328" s="80">
        <f>S326*J328</f>
        <v>87.384900000000002</v>
      </c>
      <c r="T328" s="80">
        <f>T326*J328</f>
        <v>11.805900000000001</v>
      </c>
      <c r="U328" s="80">
        <f>U326*J328</f>
        <v>278.31479999999999</v>
      </c>
      <c r="W328" s="97">
        <f>W326*K328</f>
        <v>-12166.98</v>
      </c>
      <c r="X328" s="97">
        <f>X326*K328</f>
        <v>-13641.390000000001</v>
      </c>
      <c r="Y328" s="97">
        <f>Y326*K328</f>
        <v>8.85</v>
      </c>
    </row>
    <row r="329" spans="1:26" ht="13.5" hidden="1" thickBot="1" x14ac:dyDescent="0.25">
      <c r="A329" s="469" t="s">
        <v>230</v>
      </c>
      <c r="B329" s="69" t="s">
        <v>135</v>
      </c>
      <c r="C329" s="167">
        <v>0.48470000000000002</v>
      </c>
      <c r="D329" s="167"/>
      <c r="E329" s="167">
        <v>0.48470000000000002</v>
      </c>
      <c r="F329" s="167"/>
      <c r="G329" s="167">
        <v>0.48470000000000002</v>
      </c>
      <c r="H329" s="474"/>
      <c r="I329" s="30">
        <v>0.48470000000000002</v>
      </c>
      <c r="J329" s="30">
        <v>0.48470000000000002</v>
      </c>
      <c r="K329" s="30">
        <v>0.48470000000000002</v>
      </c>
      <c r="M329" s="80"/>
      <c r="O329" s="80"/>
      <c r="P329" s="80"/>
      <c r="R329" s="80"/>
      <c r="S329" s="80"/>
      <c r="T329" s="80"/>
      <c r="U329" s="80"/>
      <c r="W329" s="97"/>
      <c r="X329" s="97"/>
      <c r="Y329" s="97"/>
    </row>
    <row r="330" spans="1:26" ht="13.5" hidden="1" thickBot="1" x14ac:dyDescent="0.25">
      <c r="A330" s="469" t="s">
        <v>231</v>
      </c>
      <c r="B330" s="69" t="s">
        <v>135</v>
      </c>
      <c r="C330" s="167">
        <v>0.12130000000000001</v>
      </c>
      <c r="D330" s="167"/>
      <c r="E330" s="167">
        <v>0.12130000000000001</v>
      </c>
      <c r="F330" s="167"/>
      <c r="G330" s="167">
        <v>0.12130000000000001</v>
      </c>
      <c r="H330" s="474"/>
      <c r="I330" s="30">
        <v>0.12130000000000001</v>
      </c>
      <c r="J330" s="30">
        <v>0.12130000000000001</v>
      </c>
      <c r="K330" s="30">
        <v>0.12130000000000001</v>
      </c>
      <c r="M330" s="80"/>
      <c r="O330" s="80"/>
      <c r="P330" s="80"/>
      <c r="R330" s="80"/>
      <c r="S330" s="80"/>
      <c r="T330" s="80"/>
      <c r="U330" s="80"/>
      <c r="W330" s="97"/>
      <c r="X330" s="97"/>
      <c r="Y330" s="97"/>
    </row>
    <row r="331" spans="1:26" ht="13.5" hidden="1" thickBot="1" x14ac:dyDescent="0.25">
      <c r="A331" s="469" t="s">
        <v>154</v>
      </c>
      <c r="B331" s="69"/>
      <c r="C331" s="170" t="e">
        <f>#REF!</f>
        <v>#REF!</v>
      </c>
      <c r="D331" s="170"/>
      <c r="E331" s="170" t="e">
        <f>C331</f>
        <v>#REF!</v>
      </c>
      <c r="F331" s="170"/>
      <c r="G331" s="170" t="e">
        <f>C331</f>
        <v>#REF!</v>
      </c>
      <c r="H331" s="475"/>
      <c r="M331" s="80"/>
      <c r="O331" s="80"/>
      <c r="P331" s="80"/>
      <c r="R331" s="80"/>
      <c r="S331" s="80"/>
      <c r="T331" s="80"/>
      <c r="U331" s="80"/>
      <c r="W331" s="97"/>
      <c r="X331" s="97"/>
      <c r="Y331" s="97"/>
    </row>
    <row r="332" spans="1:26" ht="13.5" hidden="1" thickBot="1" x14ac:dyDescent="0.25">
      <c r="A332" s="471" t="s">
        <v>155</v>
      </c>
      <c r="B332" s="69" t="s">
        <v>135</v>
      </c>
      <c r="C332" s="167"/>
      <c r="D332" s="167"/>
      <c r="E332" s="167"/>
      <c r="F332" s="167"/>
      <c r="G332" s="167"/>
      <c r="H332" s="470"/>
      <c r="I332" s="64"/>
      <c r="J332" s="101"/>
      <c r="K332" s="101"/>
      <c r="L332" s="80">
        <f>L326*I332</f>
        <v>0</v>
      </c>
      <c r="M332" s="80">
        <f>M326*I332</f>
        <v>0</v>
      </c>
      <c r="O332" s="102">
        <f>O326*I332</f>
        <v>0</v>
      </c>
      <c r="P332" s="102">
        <f>P326*I332</f>
        <v>0</v>
      </c>
      <c r="R332" s="102">
        <f>R326*J332</f>
        <v>0</v>
      </c>
      <c r="S332" s="102">
        <f>S326*K332</f>
        <v>0</v>
      </c>
      <c r="T332" s="102">
        <f>T326*J332</f>
        <v>0</v>
      </c>
      <c r="U332" s="102">
        <f>U326*J332</f>
        <v>0</v>
      </c>
      <c r="W332" s="103">
        <f>W326*K332</f>
        <v>0</v>
      </c>
      <c r="X332" s="103">
        <f>X326*K332</f>
        <v>0</v>
      </c>
      <c r="Y332" s="103">
        <f>Y326*K332</f>
        <v>0</v>
      </c>
    </row>
    <row r="333" spans="1:26" ht="13.5" hidden="1" thickBot="1" x14ac:dyDescent="0.25">
      <c r="A333" s="471" t="s">
        <v>156</v>
      </c>
      <c r="B333" s="69"/>
      <c r="C333" s="167"/>
      <c r="D333" s="167"/>
      <c r="E333" s="167"/>
      <c r="F333" s="167"/>
      <c r="G333" s="167"/>
      <c r="H333" s="470"/>
      <c r="M333" s="80"/>
      <c r="O333" s="80"/>
      <c r="P333" s="80"/>
      <c r="R333" s="80"/>
      <c r="S333" s="80"/>
      <c r="T333" s="80"/>
      <c r="U333" s="80"/>
      <c r="W333" s="97"/>
      <c r="X333" s="97"/>
      <c r="Y333" s="97"/>
    </row>
    <row r="334" spans="1:26" ht="13.5" hidden="1" thickBot="1" x14ac:dyDescent="0.25">
      <c r="A334" s="469" t="s">
        <v>157</v>
      </c>
      <c r="B334" s="69" t="s">
        <v>158</v>
      </c>
      <c r="C334" s="167"/>
      <c r="D334" s="167"/>
      <c r="E334" s="167"/>
      <c r="F334" s="167"/>
      <c r="G334" s="167" t="e">
        <f>#REF!</f>
        <v>#REF!</v>
      </c>
      <c r="H334" s="474"/>
      <c r="K334" s="64">
        <v>244.47229999999999</v>
      </c>
      <c r="M334" s="80"/>
      <c r="O334" s="80"/>
      <c r="P334" s="80"/>
      <c r="R334" s="80"/>
      <c r="S334" s="80"/>
      <c r="T334" s="80"/>
      <c r="U334" s="80"/>
      <c r="W334" s="104">
        <f>W324*K334</f>
        <v>34226.121999999996</v>
      </c>
      <c r="X334" s="97">
        <f>X324*K334</f>
        <v>53050.489099999999</v>
      </c>
      <c r="Y334" s="97">
        <f>Y324*K334</f>
        <v>189954.97709999999</v>
      </c>
    </row>
    <row r="335" spans="1:26" ht="13.5" hidden="1" thickBot="1" x14ac:dyDescent="0.25">
      <c r="A335" s="469" t="s">
        <v>159</v>
      </c>
      <c r="B335" s="69" t="s">
        <v>135</v>
      </c>
      <c r="C335" s="167" t="e">
        <f>#REF!</f>
        <v>#REF!</v>
      </c>
      <c r="D335" s="167"/>
      <c r="E335" s="167" t="e">
        <f>#REF!</f>
        <v>#REF!</v>
      </c>
      <c r="F335" s="167"/>
      <c r="G335" s="167"/>
      <c r="H335" s="474"/>
      <c r="I335" s="30">
        <v>0.78290000000000004</v>
      </c>
      <c r="J335" s="64">
        <v>0.78310000000000002</v>
      </c>
      <c r="L335" s="80">
        <f>L326*I335</f>
        <v>14.0922</v>
      </c>
      <c r="M335" s="80">
        <f>M326*I335</f>
        <v>13.3093</v>
      </c>
      <c r="O335" s="80">
        <f>O326*I335</f>
        <v>87.68480000000001</v>
      </c>
      <c r="P335" s="80">
        <f>P326*I335</f>
        <v>60.283300000000004</v>
      </c>
      <c r="R335" s="80">
        <f>R326*J335</f>
        <v>79.876199999999997</v>
      </c>
      <c r="S335" s="80">
        <f>S326*J335</f>
        <v>3866.1647000000003</v>
      </c>
      <c r="T335" s="80">
        <f>T326*J335</f>
        <v>522.32770000000005</v>
      </c>
      <c r="U335" s="80">
        <f>U326*J335</f>
        <v>12313.464400000001</v>
      </c>
      <c r="W335" s="97">
        <f>W326*K335</f>
        <v>0</v>
      </c>
      <c r="X335" s="97">
        <f>X326*K335</f>
        <v>0</v>
      </c>
      <c r="Y335" s="97">
        <f>Y326*K335</f>
        <v>0</v>
      </c>
    </row>
    <row r="336" spans="1:26" ht="13.5" hidden="1" thickBot="1" x14ac:dyDescent="0.25">
      <c r="A336" s="471" t="s">
        <v>160</v>
      </c>
      <c r="B336" s="69" t="s">
        <v>135</v>
      </c>
      <c r="C336" s="167" t="e">
        <f>#REF!</f>
        <v>#REF!</v>
      </c>
      <c r="D336" s="167"/>
      <c r="E336" s="167" t="e">
        <f>C336</f>
        <v>#REF!</v>
      </c>
      <c r="F336" s="167"/>
      <c r="G336" s="167" t="e">
        <f>C336</f>
        <v>#REF!</v>
      </c>
      <c r="H336" s="474"/>
      <c r="I336" s="30">
        <v>0.62290000000000001</v>
      </c>
      <c r="J336" s="30">
        <v>0.62290000000000001</v>
      </c>
      <c r="K336" s="30">
        <v>0.62290000000000001</v>
      </c>
      <c r="L336" s="80">
        <f>L326*I336</f>
        <v>11.212199999999999</v>
      </c>
      <c r="M336" s="80">
        <f>M326*I336</f>
        <v>10.5893</v>
      </c>
      <c r="O336" s="80">
        <f>O326*I336</f>
        <v>69.764800000000008</v>
      </c>
      <c r="P336" s="80">
        <f>P326*I336</f>
        <v>47.963300000000004</v>
      </c>
      <c r="R336" s="80">
        <f>R326*J336</f>
        <v>63.535800000000002</v>
      </c>
      <c r="S336" s="80">
        <f>S326*J336</f>
        <v>3075.2573000000002</v>
      </c>
      <c r="T336" s="80">
        <f>T326*J336</f>
        <v>415.47430000000003</v>
      </c>
      <c r="U336" s="80">
        <f>U326*J336</f>
        <v>9794.4796000000006</v>
      </c>
      <c r="W336" s="97">
        <f>W326*K336</f>
        <v>-428181.46</v>
      </c>
      <c r="X336" s="97">
        <f>X326*K336</f>
        <v>-480069.03</v>
      </c>
      <c r="Y336" s="97">
        <f>Y326*K336</f>
        <v>311.45</v>
      </c>
    </row>
    <row r="337" spans="1:25" ht="13.5" hidden="1" thickBot="1" x14ac:dyDescent="0.25">
      <c r="A337" s="469"/>
      <c r="B337" s="69"/>
      <c r="C337" s="167"/>
      <c r="D337" s="167"/>
      <c r="E337" s="167"/>
      <c r="F337" s="167"/>
      <c r="G337" s="167"/>
      <c r="H337" s="474"/>
      <c r="M337" s="80"/>
      <c r="O337" s="80"/>
      <c r="P337" s="80"/>
      <c r="R337" s="80"/>
      <c r="S337" s="80"/>
      <c r="T337" s="80"/>
      <c r="U337" s="80"/>
      <c r="W337" s="97"/>
      <c r="X337" s="97"/>
      <c r="Y337" s="97"/>
    </row>
    <row r="338" spans="1:25" ht="13.5" hidden="1" thickBot="1" x14ac:dyDescent="0.25">
      <c r="A338" s="471" t="s">
        <v>161</v>
      </c>
      <c r="B338" s="69"/>
      <c r="C338" s="167"/>
      <c r="D338" s="167"/>
      <c r="E338" s="167"/>
      <c r="F338" s="167"/>
      <c r="G338" s="167"/>
      <c r="H338" s="474"/>
      <c r="M338" s="80"/>
      <c r="O338" s="80"/>
      <c r="P338" s="80"/>
      <c r="R338" s="80"/>
      <c r="S338" s="80"/>
      <c r="T338" s="80"/>
      <c r="U338" s="80"/>
      <c r="W338" s="97"/>
      <c r="X338" s="97"/>
      <c r="Y338" s="97"/>
    </row>
    <row r="339" spans="1:25" ht="13.5" hidden="1" thickBot="1" x14ac:dyDescent="0.25">
      <c r="A339" s="469" t="s">
        <v>162</v>
      </c>
      <c r="B339" s="69" t="s">
        <v>158</v>
      </c>
      <c r="C339" s="167"/>
      <c r="D339" s="167"/>
      <c r="E339" s="167"/>
      <c r="F339" s="167"/>
      <c r="G339" s="476">
        <v>267.89999999999998</v>
      </c>
      <c r="H339" s="474"/>
      <c r="K339" s="101">
        <v>267.89999999999998</v>
      </c>
      <c r="M339" s="80"/>
      <c r="O339" s="80"/>
      <c r="P339" s="80"/>
      <c r="R339" s="80"/>
      <c r="S339" s="80"/>
      <c r="T339" s="80"/>
      <c r="U339" s="80"/>
      <c r="W339" s="104">
        <f>W324*K339</f>
        <v>37506</v>
      </c>
      <c r="X339" s="104">
        <f>X324*K339</f>
        <v>58134.299999999996</v>
      </c>
      <c r="Y339" s="104">
        <f>Y324*K339</f>
        <v>208158.3</v>
      </c>
    </row>
    <row r="340" spans="1:25" ht="13.5" hidden="1" thickBot="1" x14ac:dyDescent="0.25">
      <c r="A340" s="469" t="s">
        <v>163</v>
      </c>
      <c r="B340" s="69" t="s">
        <v>135</v>
      </c>
      <c r="C340" s="167">
        <v>0.84489999999999998</v>
      </c>
      <c r="D340" s="172"/>
      <c r="E340" s="477">
        <v>0.92589999999999995</v>
      </c>
      <c r="F340" s="167"/>
      <c r="G340" s="167"/>
      <c r="H340" s="474"/>
      <c r="I340" s="30">
        <v>0.84489999999999998</v>
      </c>
      <c r="J340" s="30">
        <v>0.92589999999999995</v>
      </c>
      <c r="L340" s="80">
        <f>L326*I340</f>
        <v>15.2082</v>
      </c>
      <c r="M340" s="80">
        <f>M326*I340</f>
        <v>14.363299999999999</v>
      </c>
      <c r="O340" s="102">
        <f>O326*I340</f>
        <v>94.628799999999998</v>
      </c>
      <c r="P340" s="102">
        <f>P326*I340</f>
        <v>65.057299999999998</v>
      </c>
      <c r="R340" s="102">
        <f>R326*J340</f>
        <v>94.441800000000001</v>
      </c>
      <c r="S340" s="102">
        <f>S326*J340</f>
        <v>4571.1682999999994</v>
      </c>
      <c r="T340" s="102">
        <f>T326*J340</f>
        <v>617.57529999999997</v>
      </c>
      <c r="U340" s="102">
        <f>U326*J340</f>
        <v>14558.8516</v>
      </c>
      <c r="W340" s="103">
        <f>W326*K340</f>
        <v>0</v>
      </c>
      <c r="X340" s="103">
        <f>X326*K340</f>
        <v>0</v>
      </c>
      <c r="Y340" s="103">
        <f>Y326*K340</f>
        <v>0</v>
      </c>
    </row>
    <row r="341" spans="1:25" ht="13.5" hidden="1" thickBot="1" x14ac:dyDescent="0.25">
      <c r="A341" s="471" t="s">
        <v>164</v>
      </c>
      <c r="B341" s="69"/>
      <c r="C341" s="167"/>
      <c r="D341" s="172"/>
      <c r="E341" s="167"/>
      <c r="F341" s="167"/>
      <c r="G341" s="167"/>
      <c r="H341" s="474"/>
      <c r="M341" s="80"/>
      <c r="O341" s="102"/>
      <c r="P341" s="102"/>
      <c r="R341" s="102"/>
      <c r="S341" s="102"/>
      <c r="T341" s="102"/>
      <c r="U341" s="102"/>
      <c r="W341" s="103"/>
      <c r="X341" s="103"/>
      <c r="Y341" s="103"/>
    </row>
    <row r="342" spans="1:25" ht="13.5" hidden="1" thickBot="1" x14ac:dyDescent="0.25">
      <c r="A342" s="469" t="s">
        <v>165</v>
      </c>
      <c r="B342" s="69" t="s">
        <v>166</v>
      </c>
      <c r="C342" s="167"/>
      <c r="D342" s="172"/>
      <c r="E342" s="478">
        <v>40.15</v>
      </c>
      <c r="F342" s="476"/>
      <c r="G342" s="478">
        <v>40.15</v>
      </c>
      <c r="H342" s="474"/>
      <c r="J342" s="30">
        <v>40.15</v>
      </c>
      <c r="K342" s="30">
        <v>40.15</v>
      </c>
      <c r="M342" s="80"/>
      <c r="O342" s="102"/>
      <c r="P342" s="102"/>
      <c r="R342" s="103">
        <f>G342</f>
        <v>40.15</v>
      </c>
      <c r="S342" s="103">
        <f>G342</f>
        <v>40.15</v>
      </c>
      <c r="T342" s="103">
        <f>S342</f>
        <v>40.15</v>
      </c>
      <c r="U342" s="103">
        <f>S342</f>
        <v>40.15</v>
      </c>
      <c r="W342" s="103">
        <f>G342</f>
        <v>40.15</v>
      </c>
      <c r="X342" s="103">
        <f>W342</f>
        <v>40.15</v>
      </c>
      <c r="Y342" s="103">
        <f>W342</f>
        <v>40.15</v>
      </c>
    </row>
    <row r="343" spans="1:25" ht="13.5" hidden="1" thickBot="1" x14ac:dyDescent="0.25">
      <c r="A343" s="469" t="s">
        <v>167</v>
      </c>
      <c r="B343" s="69" t="s">
        <v>135</v>
      </c>
      <c r="C343" s="167">
        <v>0.7732</v>
      </c>
      <c r="D343" s="172"/>
      <c r="E343" s="476"/>
      <c r="F343" s="476"/>
      <c r="G343" s="476"/>
      <c r="H343" s="474"/>
      <c r="I343" s="30">
        <v>0.7732</v>
      </c>
      <c r="L343" s="80">
        <f>L326*I343</f>
        <v>13.9176</v>
      </c>
      <c r="M343" s="80">
        <f>M326*I343</f>
        <v>13.144399999999999</v>
      </c>
      <c r="O343" s="102">
        <f>O326*I343</f>
        <v>86.598399999999998</v>
      </c>
      <c r="P343" s="102">
        <f>P326*I343</f>
        <v>59.5364</v>
      </c>
      <c r="R343" s="102">
        <f>R326*J343</f>
        <v>0</v>
      </c>
      <c r="S343" s="102">
        <f>S326*K343</f>
        <v>0</v>
      </c>
      <c r="T343" s="102">
        <f>T326*J343</f>
        <v>0</v>
      </c>
      <c r="U343" s="102">
        <f>U326*J343</f>
        <v>0</v>
      </c>
      <c r="W343" s="103">
        <f>W326*K343</f>
        <v>0</v>
      </c>
      <c r="X343" s="103">
        <f>X326*K343</f>
        <v>0</v>
      </c>
      <c r="Y343" s="103">
        <f>Y326*K343</f>
        <v>0</v>
      </c>
    </row>
    <row r="344" spans="1:25" ht="13.5" hidden="1" thickBot="1" x14ac:dyDescent="0.25">
      <c r="A344" s="471" t="s">
        <v>168</v>
      </c>
      <c r="B344" s="69"/>
      <c r="C344" s="69"/>
      <c r="D344" s="172"/>
      <c r="E344" s="476"/>
      <c r="F344" s="476"/>
      <c r="G344" s="476"/>
      <c r="H344" s="474"/>
      <c r="M344" s="80"/>
      <c r="O344" s="102"/>
      <c r="P344" s="102"/>
      <c r="R344" s="102"/>
      <c r="S344" s="102"/>
      <c r="T344" s="102"/>
      <c r="U344" s="102"/>
      <c r="W344" s="103"/>
      <c r="X344" s="103"/>
      <c r="Y344" s="103"/>
    </row>
    <row r="345" spans="1:25" ht="13.5" hidden="1" thickBot="1" x14ac:dyDescent="0.25">
      <c r="A345" s="469" t="s">
        <v>221</v>
      </c>
      <c r="B345" s="69" t="s">
        <v>170</v>
      </c>
      <c r="C345" s="167">
        <v>5</v>
      </c>
      <c r="D345" s="172"/>
      <c r="E345" s="478">
        <v>28.72</v>
      </c>
      <c r="F345" s="476"/>
      <c r="G345" s="478">
        <v>28.72</v>
      </c>
      <c r="H345" s="474"/>
      <c r="I345" s="101">
        <v>5</v>
      </c>
      <c r="J345" s="30">
        <v>28.72</v>
      </c>
      <c r="K345" s="30">
        <v>28.72</v>
      </c>
      <c r="L345" s="80">
        <v>5</v>
      </c>
      <c r="M345" s="80">
        <v>5</v>
      </c>
      <c r="O345" s="102">
        <v>5</v>
      </c>
      <c r="P345" s="102">
        <v>5</v>
      </c>
      <c r="R345" s="103">
        <f>G345</f>
        <v>28.72</v>
      </c>
      <c r="S345" s="103">
        <f>G345</f>
        <v>28.72</v>
      </c>
      <c r="T345" s="103">
        <f>S345</f>
        <v>28.72</v>
      </c>
      <c r="U345" s="103">
        <f>S345</f>
        <v>28.72</v>
      </c>
      <c r="W345" s="103">
        <f>G345</f>
        <v>28.72</v>
      </c>
      <c r="X345" s="103">
        <f>W345</f>
        <v>28.72</v>
      </c>
      <c r="Y345" s="103">
        <f>W345</f>
        <v>28.72</v>
      </c>
    </row>
    <row r="346" spans="1:25" ht="13.5" hidden="1" thickBot="1" x14ac:dyDescent="0.25">
      <c r="A346" s="469" t="s">
        <v>171</v>
      </c>
      <c r="B346" s="69" t="s">
        <v>135</v>
      </c>
      <c r="C346" s="167">
        <v>0.45689999999999997</v>
      </c>
      <c r="D346" s="167"/>
      <c r="E346" s="167"/>
      <c r="F346" s="167"/>
      <c r="G346" s="167"/>
      <c r="H346" s="474"/>
      <c r="I346" s="30">
        <v>0.45689999999999997</v>
      </c>
      <c r="L346" s="80">
        <f>L326*I346</f>
        <v>8.2241999999999997</v>
      </c>
      <c r="M346" s="80">
        <f>M326*I346</f>
        <v>7.7672999999999996</v>
      </c>
      <c r="O346" s="102">
        <f>O326*I346</f>
        <v>51.172799999999995</v>
      </c>
      <c r="P346" s="102">
        <f>P326*I346</f>
        <v>35.1813</v>
      </c>
      <c r="R346" s="102"/>
      <c r="S346" s="102"/>
      <c r="T346" s="102"/>
      <c r="U346" s="102"/>
      <c r="W346" s="103"/>
      <c r="X346" s="103"/>
      <c r="Y346" s="103"/>
    </row>
    <row r="347" spans="1:25" ht="13.5" hidden="1" thickBot="1" x14ac:dyDescent="0.25">
      <c r="A347" s="471" t="s">
        <v>172</v>
      </c>
      <c r="B347" s="69" t="s">
        <v>135</v>
      </c>
      <c r="C347" s="167" t="e">
        <f>#REF!</f>
        <v>#REF!</v>
      </c>
      <c r="D347" s="172"/>
      <c r="E347" s="477" t="e">
        <f>C347</f>
        <v>#REF!</v>
      </c>
      <c r="F347" s="477"/>
      <c r="G347" s="477" t="e">
        <f>C347</f>
        <v>#REF!</v>
      </c>
      <c r="H347" s="474"/>
      <c r="I347" s="64">
        <v>9.2600000000000002E-2</v>
      </c>
      <c r="J347" s="64">
        <f t="shared" ref="J347:J352" si="3">I347</f>
        <v>9.2600000000000002E-2</v>
      </c>
      <c r="K347" s="64">
        <f t="shared" ref="K347:K352" si="4">I347</f>
        <v>9.2600000000000002E-2</v>
      </c>
      <c r="L347" s="80">
        <f>-(L327+L328+L335+L336+L340+L343+L345+L346)*5%</f>
        <v>-7.0700200000000013</v>
      </c>
      <c r="M347" s="80">
        <f>-(M327+M328+M335+M336+M340+M343+M345+M346)*10%</f>
        <v>-13.38226</v>
      </c>
      <c r="O347" s="102">
        <f>O326*I347</f>
        <v>10.3712</v>
      </c>
      <c r="P347" s="464">
        <f>P326*I347</f>
        <v>7.1302000000000003</v>
      </c>
      <c r="R347" s="102">
        <f>R326*J347</f>
        <v>9.4451999999999998</v>
      </c>
      <c r="S347" s="102">
        <f>S326*J347</f>
        <v>457.1662</v>
      </c>
      <c r="T347" s="102">
        <f>T326*J347</f>
        <v>61.764200000000002</v>
      </c>
      <c r="U347" s="102">
        <f>U326*J347</f>
        <v>1456.0424</v>
      </c>
      <c r="W347" s="103">
        <f>W326*K347</f>
        <v>-63653.24</v>
      </c>
      <c r="X347" s="103">
        <f>X326*K347</f>
        <v>-71366.820000000007</v>
      </c>
      <c r="Y347" s="103">
        <f>Y326*K347</f>
        <v>46.300000000000004</v>
      </c>
    </row>
    <row r="348" spans="1:25" ht="13.5" hidden="1" thickBot="1" x14ac:dyDescent="0.25">
      <c r="A348" s="471" t="s">
        <v>173</v>
      </c>
      <c r="B348" s="69"/>
      <c r="C348" s="167">
        <v>1.4E-3</v>
      </c>
      <c r="D348" s="172"/>
      <c r="E348" s="477">
        <f>C348</f>
        <v>1.4E-3</v>
      </c>
      <c r="F348" s="477"/>
      <c r="G348" s="477">
        <f>C348</f>
        <v>1.4E-3</v>
      </c>
      <c r="H348" s="474"/>
      <c r="I348" s="30">
        <v>1.4E-3</v>
      </c>
      <c r="J348" s="64">
        <f t="shared" si="3"/>
        <v>1.4E-3</v>
      </c>
      <c r="K348" s="64">
        <f t="shared" si="4"/>
        <v>1.4E-3</v>
      </c>
      <c r="L348" s="106">
        <f>L326*I348</f>
        <v>2.52E-2</v>
      </c>
      <c r="M348" s="80"/>
      <c r="O348" s="80">
        <f>-(O327+O328+O335+O336+O340+O343+O345+O346+O347)*5%</f>
        <v>-43.204240000000006</v>
      </c>
      <c r="P348" s="465">
        <f>P326*I348</f>
        <v>0.10779999999999999</v>
      </c>
      <c r="R348" s="107">
        <f>R326*J348</f>
        <v>0.14280000000000001</v>
      </c>
      <c r="S348" s="107">
        <f>S326*J348</f>
        <v>6.9117999999999995</v>
      </c>
      <c r="T348" s="107">
        <f>T326*J348</f>
        <v>0.93379999999999996</v>
      </c>
      <c r="U348" s="107">
        <f>U326*J348</f>
        <v>22.0136</v>
      </c>
      <c r="W348" s="104">
        <f>W326*K348</f>
        <v>-962.36</v>
      </c>
      <c r="X348" s="104">
        <f>X326*K348</f>
        <v>-1078.98</v>
      </c>
      <c r="Y348" s="104">
        <f>Y326*K348</f>
        <v>0.7</v>
      </c>
    </row>
    <row r="349" spans="1:25" ht="13.5" hidden="1" thickBot="1" x14ac:dyDescent="0.25">
      <c r="A349" s="471" t="s">
        <v>174</v>
      </c>
      <c r="B349" s="69"/>
      <c r="C349" s="167"/>
      <c r="D349" s="167"/>
      <c r="E349" s="167"/>
      <c r="F349" s="167"/>
      <c r="G349" s="167"/>
      <c r="H349" s="474"/>
      <c r="I349" s="30">
        <v>0.40039999999999998</v>
      </c>
      <c r="J349" s="64">
        <f t="shared" si="3"/>
        <v>0.40039999999999998</v>
      </c>
      <c r="K349" s="64">
        <f t="shared" si="4"/>
        <v>0.40039999999999998</v>
      </c>
      <c r="L349" s="80">
        <f>L326*I349</f>
        <v>7.2071999999999994</v>
      </c>
      <c r="M349" s="80">
        <f>M326*J349</f>
        <v>6.8068</v>
      </c>
      <c r="O349" s="80">
        <f>O326*I349</f>
        <v>44.844799999999999</v>
      </c>
      <c r="P349" s="80">
        <f>P326*I349</f>
        <v>30.8308</v>
      </c>
      <c r="R349" s="107">
        <f>R326*J349</f>
        <v>40.840799999999994</v>
      </c>
      <c r="S349" s="107">
        <f>S326*J349</f>
        <v>1976.7747999999999</v>
      </c>
      <c r="T349" s="107">
        <f>T326*J349</f>
        <v>267.0668</v>
      </c>
      <c r="U349" s="107">
        <f>U326*J349</f>
        <v>6295.8895999999995</v>
      </c>
      <c r="W349" s="80">
        <f>W326*K349</f>
        <v>-275234.95999999996</v>
      </c>
      <c r="X349" s="80">
        <f>X326*K349</f>
        <v>-308588.27999999997</v>
      </c>
      <c r="Y349" s="80">
        <f>Y326*K349</f>
        <v>200.2</v>
      </c>
    </row>
    <row r="350" spans="1:25" ht="13.5" hidden="1" thickBot="1" x14ac:dyDescent="0.25">
      <c r="A350" s="469" t="s">
        <v>175</v>
      </c>
      <c r="B350" s="69" t="s">
        <v>135</v>
      </c>
      <c r="C350" s="167">
        <f>0.1163</f>
        <v>0.1163</v>
      </c>
      <c r="D350" s="167"/>
      <c r="E350" s="167">
        <f>C350</f>
        <v>0.1163</v>
      </c>
      <c r="F350" s="167"/>
      <c r="G350" s="167">
        <f>C350</f>
        <v>0.1163</v>
      </c>
      <c r="H350" s="479"/>
      <c r="I350" s="30">
        <v>0.1163</v>
      </c>
      <c r="J350" s="64">
        <f t="shared" si="3"/>
        <v>0.1163</v>
      </c>
      <c r="K350" s="64">
        <f t="shared" si="4"/>
        <v>0.1163</v>
      </c>
      <c r="L350" s="80">
        <f>L326*I350</f>
        <v>2.0933999999999999</v>
      </c>
      <c r="M350" s="80">
        <f>M326*I350</f>
        <v>1.9771000000000001</v>
      </c>
      <c r="O350" s="80">
        <f>O326*I350</f>
        <v>13.025600000000001</v>
      </c>
      <c r="P350" s="80">
        <f>P326*I350</f>
        <v>8.9550999999999998</v>
      </c>
      <c r="R350" s="80">
        <f>R326*J350</f>
        <v>11.8626</v>
      </c>
      <c r="S350" s="80">
        <f>S326*J350</f>
        <v>574.17309999999998</v>
      </c>
      <c r="T350" s="80">
        <f>T326*J350</f>
        <v>77.572100000000006</v>
      </c>
      <c r="U350" s="80">
        <f>U326*J350</f>
        <v>1828.7012</v>
      </c>
      <c r="W350" s="97">
        <f>W326*K350</f>
        <v>-79944.62</v>
      </c>
      <c r="X350" s="97">
        <f>X326*K350</f>
        <v>-89632.41</v>
      </c>
      <c r="Y350" s="97">
        <f>Y326*K350</f>
        <v>58.15</v>
      </c>
    </row>
    <row r="351" spans="1:25" ht="13.5" hidden="1" thickBot="1" x14ac:dyDescent="0.25">
      <c r="A351" s="469" t="s">
        <v>176</v>
      </c>
      <c r="B351" s="69" t="s">
        <v>135</v>
      </c>
      <c r="C351" s="167">
        <v>2.5000000000000001E-3</v>
      </c>
      <c r="D351" s="167"/>
      <c r="E351" s="167">
        <v>2.5000000000000001E-3</v>
      </c>
      <c r="F351" s="167"/>
      <c r="G351" s="477">
        <f>C351</f>
        <v>2.5000000000000001E-3</v>
      </c>
      <c r="H351" s="474"/>
      <c r="I351" s="30">
        <v>2.5000000000000001E-3</v>
      </c>
      <c r="J351" s="64">
        <f t="shared" si="3"/>
        <v>2.5000000000000001E-3</v>
      </c>
      <c r="K351" s="64">
        <f t="shared" si="4"/>
        <v>2.5000000000000001E-3</v>
      </c>
      <c r="L351" s="80">
        <f>$L$141*I351</f>
        <v>1.7500000000000002E-2</v>
      </c>
      <c r="M351" s="80">
        <f>M326*I351</f>
        <v>4.2500000000000003E-2</v>
      </c>
      <c r="O351" s="80">
        <f>O326*I351</f>
        <v>0.28000000000000003</v>
      </c>
      <c r="P351" s="80">
        <f>P326*I351</f>
        <v>0.1925</v>
      </c>
      <c r="R351" s="80">
        <f>R326*J351</f>
        <v>0.255</v>
      </c>
      <c r="S351" s="80">
        <f>S326*J351</f>
        <v>12.342500000000001</v>
      </c>
      <c r="T351" s="80">
        <f>T326*J351</f>
        <v>1.6675</v>
      </c>
      <c r="U351" s="80">
        <f>U326*J351</f>
        <v>39.31</v>
      </c>
      <c r="W351" s="97">
        <f>W326*K351</f>
        <v>-1718.5</v>
      </c>
      <c r="X351" s="97">
        <f>X326*K351</f>
        <v>-1926.75</v>
      </c>
      <c r="Y351" s="97">
        <f>Y326*K351</f>
        <v>1.25</v>
      </c>
    </row>
    <row r="352" spans="1:25" ht="13.5" hidden="1" thickBot="1" x14ac:dyDescent="0.25">
      <c r="A352" s="469" t="s">
        <v>200</v>
      </c>
      <c r="B352" s="69" t="s">
        <v>135</v>
      </c>
      <c r="C352" s="167">
        <f>0.1938</f>
        <v>0.1938</v>
      </c>
      <c r="D352" s="167"/>
      <c r="E352" s="167">
        <f>C352</f>
        <v>0.1938</v>
      </c>
      <c r="F352" s="167"/>
      <c r="G352" s="477">
        <f>C352</f>
        <v>0.1938</v>
      </c>
      <c r="H352" s="479"/>
      <c r="I352" s="30">
        <v>0.1938</v>
      </c>
      <c r="J352" s="64">
        <f t="shared" si="3"/>
        <v>0.1938</v>
      </c>
      <c r="K352" s="64">
        <f t="shared" si="4"/>
        <v>0.1938</v>
      </c>
      <c r="L352" s="80">
        <f>$L$141*I352</f>
        <v>1.3566</v>
      </c>
      <c r="M352" s="80">
        <f>M326*I352</f>
        <v>3.2946</v>
      </c>
      <c r="O352" s="80">
        <f>O326*I352</f>
        <v>21.7056</v>
      </c>
      <c r="P352" s="80">
        <f>P326*I352</f>
        <v>14.922599999999999</v>
      </c>
      <c r="R352" s="80">
        <f>R326*J352</f>
        <v>19.767600000000002</v>
      </c>
      <c r="S352" s="80">
        <f>S326*J352</f>
        <v>956.79060000000004</v>
      </c>
      <c r="T352" s="80">
        <f>T326*J352</f>
        <v>129.2646</v>
      </c>
      <c r="U352" s="80">
        <f>U326*J352</f>
        <v>3047.3112000000001</v>
      </c>
      <c r="W352" s="97">
        <f>W326*K352</f>
        <v>-133218.12</v>
      </c>
      <c r="X352" s="97">
        <f>X326*K352</f>
        <v>-149361.66</v>
      </c>
      <c r="Y352" s="97">
        <f>Y326*K352</f>
        <v>96.9</v>
      </c>
    </row>
    <row r="353" spans="1:26" ht="13.5" hidden="1" thickBot="1" x14ac:dyDescent="0.25">
      <c r="A353" s="480" t="s">
        <v>182</v>
      </c>
      <c r="B353" s="69"/>
      <c r="C353" s="167"/>
      <c r="D353" s="167"/>
      <c r="E353" s="167"/>
      <c r="F353" s="167"/>
      <c r="G353" s="477"/>
      <c r="H353" s="479"/>
      <c r="I353" s="64"/>
      <c r="J353" s="64"/>
      <c r="K353" s="64"/>
      <c r="L353" s="80">
        <f>L326*I353</f>
        <v>0</v>
      </c>
      <c r="M353" s="80">
        <f>M326*I353</f>
        <v>0</v>
      </c>
      <c r="O353" s="80">
        <f>O326*I353</f>
        <v>0</v>
      </c>
      <c r="P353" s="80">
        <f>P326*I353</f>
        <v>0</v>
      </c>
      <c r="R353" s="80">
        <f>R326*J353</f>
        <v>0</v>
      </c>
      <c r="S353" s="80">
        <f>S326*J353</f>
        <v>0</v>
      </c>
      <c r="T353" s="80">
        <f>T326*J353</f>
        <v>0</v>
      </c>
      <c r="U353" s="80">
        <f>U326*J353</f>
        <v>0</v>
      </c>
      <c r="W353" s="97">
        <f>W326*K353</f>
        <v>0</v>
      </c>
      <c r="X353" s="97">
        <f>X326*K353</f>
        <v>0</v>
      </c>
      <c r="Y353" s="97">
        <f>Y326*K353</f>
        <v>0</v>
      </c>
    </row>
    <row r="354" spans="1:26" ht="13.5" hidden="1" thickBot="1" x14ac:dyDescent="0.25">
      <c r="A354" s="469" t="s">
        <v>211</v>
      </c>
      <c r="B354" s="69" t="s">
        <v>135</v>
      </c>
      <c r="C354" s="167" t="e">
        <f>#REF!</f>
        <v>#REF!</v>
      </c>
      <c r="D354" s="167"/>
      <c r="E354" s="167" t="e">
        <f>C354</f>
        <v>#REF!</v>
      </c>
      <c r="F354" s="167"/>
      <c r="G354" s="477" t="e">
        <f>C354</f>
        <v>#REF!</v>
      </c>
      <c r="H354" s="479"/>
      <c r="I354" s="30">
        <v>0.28820000000000001</v>
      </c>
      <c r="J354" s="64">
        <f t="shared" ref="J354:K356" si="5">I354</f>
        <v>0.28820000000000001</v>
      </c>
      <c r="K354" s="64">
        <f t="shared" si="5"/>
        <v>0.28820000000000001</v>
      </c>
      <c r="L354" s="115">
        <f>SUM(L327:L353)</f>
        <v>145.03028000000003</v>
      </c>
      <c r="M354" s="116">
        <f>SUM(M327:M353)</f>
        <v>132.56133999999997</v>
      </c>
      <c r="N354" s="30" t="s">
        <v>180</v>
      </c>
      <c r="O354" s="80">
        <f>O326*I354</f>
        <v>32.278400000000005</v>
      </c>
      <c r="P354" s="80">
        <f>P326*I354</f>
        <v>22.191400000000002</v>
      </c>
      <c r="R354" s="80">
        <f>R326*J354</f>
        <v>29.3964</v>
      </c>
      <c r="S354" s="80">
        <f>S326*J354</f>
        <v>1422.8434</v>
      </c>
      <c r="T354" s="80">
        <f>T326*J354</f>
        <v>192.2294</v>
      </c>
      <c r="U354" s="80">
        <f>U326*J354</f>
        <v>4531.6567999999997</v>
      </c>
      <c r="W354" s="80">
        <f>W326*O354</f>
        <v>-22188172.160000004</v>
      </c>
      <c r="X354" s="80">
        <f>X326*O354</f>
        <v>-24876962.880000003</v>
      </c>
      <c r="Y354" s="80">
        <f>Y326*O354</f>
        <v>16139.200000000003</v>
      </c>
      <c r="Z354" s="80">
        <f>Z326*O354</f>
        <v>16139.200000000003</v>
      </c>
    </row>
    <row r="355" spans="1:26" ht="13.5" hidden="1" thickBot="1" x14ac:dyDescent="0.25">
      <c r="A355" s="469" t="s">
        <v>212</v>
      </c>
      <c r="B355" s="69" t="s">
        <v>135</v>
      </c>
      <c r="C355" s="167" t="e">
        <f>#REF!</f>
        <v>#REF!</v>
      </c>
      <c r="D355" s="167"/>
      <c r="E355" s="167" t="e">
        <f>C355</f>
        <v>#REF!</v>
      </c>
      <c r="F355" s="167"/>
      <c r="G355" s="477" t="e">
        <f>C355</f>
        <v>#REF!</v>
      </c>
      <c r="H355" s="479"/>
      <c r="I355" s="30">
        <v>2.5000000000000001E-3</v>
      </c>
      <c r="J355" s="64">
        <f t="shared" si="5"/>
        <v>2.5000000000000001E-3</v>
      </c>
      <c r="K355" s="64">
        <f t="shared" si="5"/>
        <v>2.5000000000000001E-3</v>
      </c>
      <c r="N355" s="30" t="s">
        <v>183</v>
      </c>
      <c r="O355" s="80">
        <f>O326*I355</f>
        <v>0.28000000000000003</v>
      </c>
      <c r="P355" s="80">
        <f>P326*I355</f>
        <v>0.1925</v>
      </c>
      <c r="R355" s="80">
        <f>R326*J355</f>
        <v>0.255</v>
      </c>
      <c r="S355" s="80">
        <f>S326*J355</f>
        <v>12.342500000000001</v>
      </c>
      <c r="T355" s="80">
        <f>T326*J355</f>
        <v>1.6675</v>
      </c>
      <c r="U355" s="80">
        <f>U326*J355</f>
        <v>39.31</v>
      </c>
      <c r="W355" s="80">
        <f>W326*O355</f>
        <v>-192472.00000000003</v>
      </c>
      <c r="X355" s="80">
        <f>X326*O355</f>
        <v>-215796.00000000003</v>
      </c>
      <c r="Y355" s="80">
        <f>Y326*O355</f>
        <v>140</v>
      </c>
      <c r="Z355" s="80">
        <f>Z326*O355</f>
        <v>140</v>
      </c>
    </row>
    <row r="356" spans="1:26" ht="13.5" hidden="1" thickBot="1" x14ac:dyDescent="0.25">
      <c r="A356" s="469" t="s">
        <v>213</v>
      </c>
      <c r="B356" s="69" t="s">
        <v>135</v>
      </c>
      <c r="C356" s="167" t="e">
        <f>#REF!</f>
        <v>#REF!</v>
      </c>
      <c r="D356" s="167"/>
      <c r="E356" s="167" t="e">
        <f>C356</f>
        <v>#REF!</v>
      </c>
      <c r="F356" s="167"/>
      <c r="G356" s="172" t="e">
        <f>C356</f>
        <v>#REF!</v>
      </c>
      <c r="H356" s="479"/>
      <c r="I356" s="30">
        <v>3.6999999999999998E-2</v>
      </c>
      <c r="J356" s="64">
        <f t="shared" si="5"/>
        <v>3.6999999999999998E-2</v>
      </c>
      <c r="K356" s="64">
        <f t="shared" si="5"/>
        <v>3.6999999999999998E-2</v>
      </c>
      <c r="N356" s="30" t="s">
        <v>186</v>
      </c>
      <c r="O356" s="80">
        <f>O326*I356</f>
        <v>4.1440000000000001</v>
      </c>
      <c r="P356" s="80">
        <f>P326*I356</f>
        <v>2.8489999999999998</v>
      </c>
      <c r="R356" s="80">
        <f>R326*J356</f>
        <v>3.774</v>
      </c>
      <c r="S356" s="80">
        <f>S326*J356</f>
        <v>182.66899999999998</v>
      </c>
      <c r="T356" s="80">
        <f>T326*J356</f>
        <v>24.678999999999998</v>
      </c>
      <c r="U356" s="80">
        <f>U326*J356</f>
        <v>581.78800000000001</v>
      </c>
      <c r="W356" s="80">
        <f>W326*O356</f>
        <v>-2848585.6</v>
      </c>
      <c r="X356" s="80">
        <f>X326*O356</f>
        <v>-3193780.8000000003</v>
      </c>
      <c r="Y356" s="80">
        <f>Y326*O356</f>
        <v>2072</v>
      </c>
      <c r="Z356" s="80">
        <f>Z326*O356</f>
        <v>2072</v>
      </c>
    </row>
    <row r="357" spans="1:26" ht="13.5" hidden="1" thickBot="1" x14ac:dyDescent="0.25">
      <c r="A357" s="469" t="s">
        <v>214</v>
      </c>
      <c r="B357" s="69" t="s">
        <v>215</v>
      </c>
      <c r="C357" s="481">
        <v>0.12</v>
      </c>
      <c r="D357" s="167"/>
      <c r="E357" s="481">
        <v>0.12</v>
      </c>
      <c r="F357" s="167"/>
      <c r="G357" s="481">
        <v>0.12</v>
      </c>
      <c r="H357" s="479"/>
      <c r="I357" s="64"/>
      <c r="J357" s="64"/>
      <c r="K357" s="64"/>
      <c r="L357" s="107" t="s">
        <v>182</v>
      </c>
      <c r="O357" s="80">
        <f>O330*I357</f>
        <v>0</v>
      </c>
      <c r="P357" s="80">
        <f>P330*I357</f>
        <v>0</v>
      </c>
      <c r="R357" s="80"/>
      <c r="S357" s="80"/>
      <c r="T357" s="80"/>
      <c r="U357" s="80">
        <f>U330*J357</f>
        <v>0</v>
      </c>
      <c r="W357" s="80"/>
      <c r="X357" s="80"/>
      <c r="Y357" s="80"/>
      <c r="Z357" s="80">
        <f>Z330*O357</f>
        <v>0</v>
      </c>
    </row>
    <row r="358" spans="1:26" ht="13.5" hidden="1" thickBot="1" x14ac:dyDescent="0.25">
      <c r="A358" s="482" t="s">
        <v>177</v>
      </c>
      <c r="B358" s="174" t="s">
        <v>135</v>
      </c>
      <c r="C358" s="175">
        <v>0.40039999999999998</v>
      </c>
      <c r="D358" s="175"/>
      <c r="E358" s="175">
        <v>0.40039999999999998</v>
      </c>
      <c r="F358" s="175"/>
      <c r="G358" s="483">
        <f>C358</f>
        <v>0.40039999999999998</v>
      </c>
      <c r="H358" s="484"/>
      <c r="I358" s="64"/>
      <c r="J358" s="64"/>
      <c r="K358" s="64"/>
      <c r="N358" s="30" t="s">
        <v>191</v>
      </c>
      <c r="O358" s="121">
        <f>(SUM(O332,O340:O347))*12%</f>
        <v>29.732543999999994</v>
      </c>
      <c r="P358" s="121">
        <f>(SUM(P332,P340:P347))*12%</f>
        <v>20.628623999999999</v>
      </c>
      <c r="R358" s="121">
        <f>(SUM(R332,R340:R347))*12%</f>
        <v>20.730840000000001</v>
      </c>
      <c r="S358" s="121">
        <f>(SUM(S332,S340:S347))*12%</f>
        <v>611.66453999999987</v>
      </c>
      <c r="T358" s="121">
        <f>(SUM(T332,T340:T347))*12%</f>
        <v>89.785139999999984</v>
      </c>
      <c r="U358" s="121">
        <f>(SUM(U332,U340:U347))*12%</f>
        <v>1930.0516799999998</v>
      </c>
      <c r="W358" s="121">
        <f>(SUM(W332,W340:W347))*12%</f>
        <v>-7630.1243999999988</v>
      </c>
      <c r="X358" s="121">
        <f>(SUM(X332,X340:X347))*12%</f>
        <v>-8555.7540000000008</v>
      </c>
      <c r="Y358" s="121">
        <f>(SUM(Y332,Y340:Y347))*12%</f>
        <v>13.820400000000001</v>
      </c>
      <c r="Z358" s="121">
        <f>(SUM(Z332,Z340:Z347))*12%</f>
        <v>0</v>
      </c>
    </row>
    <row r="359" spans="1:26" ht="13.5" hidden="1" thickBot="1" x14ac:dyDescent="0.25">
      <c r="A359" s="485" t="s">
        <v>178</v>
      </c>
      <c r="B359" s="177"/>
      <c r="C359" s="178" t="e">
        <f>C331+C332+C335+C336+C340+C343+C346+C347+C348+C350+C351+C352+C354+C355+C356+C358</f>
        <v>#REF!</v>
      </c>
      <c r="D359" s="179"/>
      <c r="E359" s="178" t="e">
        <f>E331+E335+E336+E340+E347+E348+E350+E351+E352+E354+E355+E356+E358</f>
        <v>#REF!</v>
      </c>
      <c r="F359" s="179"/>
      <c r="G359" s="178" t="e">
        <f>G331+G332+G335+G336+G340+G343+G346+G347+G348+G350+G351+G352+G354+G355+G356+G358</f>
        <v>#REF!</v>
      </c>
      <c r="H359" s="486"/>
      <c r="I359" s="64"/>
      <c r="J359" s="64"/>
      <c r="K359" s="64"/>
      <c r="O359" s="116">
        <f>SUM(O354:O358)</f>
        <v>66.434944000000002</v>
      </c>
      <c r="P359" s="116">
        <f>SUM(P327:P358)</f>
        <v>696.4911239999999</v>
      </c>
      <c r="R359" s="116">
        <f>SUM(R327:R358)</f>
        <v>861.08804000000009</v>
      </c>
      <c r="S359" s="116">
        <f>SUM(S327:S358)</f>
        <v>38022.027739999998</v>
      </c>
      <c r="T359" s="116">
        <f>SUM(T327:T358)</f>
        <v>5203.5763399999978</v>
      </c>
      <c r="U359" s="116">
        <f>SUM(U327:U358)</f>
        <v>120928.96807999999</v>
      </c>
      <c r="W359" s="116">
        <f>SUM(W327:W358)</f>
        <v>-28964249.952400006</v>
      </c>
      <c r="X359" s="116">
        <f>SUM(X327:X358)</f>
        <v>-32443423.604900002</v>
      </c>
      <c r="Y359" s="116">
        <f>SUM(Y327:Y358)</f>
        <v>419310.61750000011</v>
      </c>
      <c r="Z359" s="116">
        <f>SUM(Z327:Z358)</f>
        <v>18351.200000000004</v>
      </c>
    </row>
    <row r="360" spans="1:26" ht="13.5" hidden="1" thickBot="1" x14ac:dyDescent="0.25">
      <c r="A360" s="485" t="s">
        <v>179</v>
      </c>
      <c r="B360" s="177" t="s">
        <v>166</v>
      </c>
      <c r="C360" s="180">
        <f>C345</f>
        <v>5</v>
      </c>
      <c r="D360" s="180"/>
      <c r="E360" s="180">
        <f>E342+E345</f>
        <v>68.87</v>
      </c>
      <c r="F360" s="180"/>
      <c r="G360" s="180">
        <f>G342+G345</f>
        <v>68.87</v>
      </c>
      <c r="H360" s="486"/>
    </row>
    <row r="361" spans="1:26" ht="14.25" hidden="1" thickTop="1" thickBot="1" x14ac:dyDescent="0.25">
      <c r="A361" s="485" t="s">
        <v>216</v>
      </c>
      <c r="B361" s="181" t="s">
        <v>158</v>
      </c>
      <c r="C361" s="178"/>
      <c r="D361" s="178"/>
      <c r="E361" s="178"/>
      <c r="F361" s="178"/>
      <c r="G361" s="180">
        <f>G339</f>
        <v>267.89999999999998</v>
      </c>
      <c r="H361" s="486"/>
      <c r="R361" s="122"/>
    </row>
    <row r="362" spans="1:26" ht="13.5" hidden="1" thickBot="1" x14ac:dyDescent="0.25">
      <c r="A362" s="469"/>
      <c r="B362" s="69"/>
      <c r="C362" s="167"/>
      <c r="D362" s="69"/>
      <c r="E362" s="69"/>
      <c r="F362" s="69"/>
      <c r="G362" s="69"/>
      <c r="H362" s="470"/>
    </row>
    <row r="363" spans="1:26" ht="13.5" hidden="1" thickBot="1" x14ac:dyDescent="0.25">
      <c r="A363" s="487" t="s">
        <v>5</v>
      </c>
      <c r="B363" s="67" t="s">
        <v>218</v>
      </c>
      <c r="C363" s="188"/>
      <c r="D363" s="69"/>
      <c r="E363" s="188" t="s">
        <v>193</v>
      </c>
      <c r="F363" s="188" t="s">
        <v>193</v>
      </c>
      <c r="G363" s="188"/>
      <c r="H363" s="470"/>
    </row>
    <row r="364" spans="1:26" ht="13.5" hidden="1" thickBot="1" x14ac:dyDescent="0.25">
      <c r="A364" s="487"/>
      <c r="B364" s="67"/>
      <c r="C364" s="188"/>
      <c r="D364" s="69"/>
      <c r="E364" s="188"/>
      <c r="F364" s="188" t="s">
        <v>193</v>
      </c>
      <c r="G364" s="188"/>
      <c r="H364" s="470"/>
    </row>
    <row r="365" spans="1:26" ht="13.5" hidden="1" thickBot="1" x14ac:dyDescent="0.25">
      <c r="A365" s="487"/>
      <c r="B365" s="67"/>
      <c r="C365" s="188"/>
      <c r="D365" s="69"/>
      <c r="E365" s="188"/>
      <c r="F365" s="188" t="s">
        <v>193</v>
      </c>
      <c r="G365" s="188"/>
      <c r="H365" s="470"/>
    </row>
    <row r="366" spans="1:26" ht="13.5" hidden="1" thickBot="1" x14ac:dyDescent="0.25">
      <c r="A366" s="487"/>
      <c r="B366" s="67"/>
      <c r="C366" s="67"/>
      <c r="D366" s="69"/>
      <c r="E366" s="67"/>
      <c r="F366" s="67"/>
      <c r="G366" s="67"/>
      <c r="H366" s="470"/>
    </row>
    <row r="367" spans="1:26" ht="13.5" hidden="1" thickBot="1" x14ac:dyDescent="0.25">
      <c r="A367" s="488" t="s">
        <v>14</v>
      </c>
      <c r="B367" s="189" t="s">
        <v>219</v>
      </c>
      <c r="C367" s="189"/>
      <c r="D367" s="69"/>
      <c r="E367" s="189" t="s">
        <v>195</v>
      </c>
      <c r="F367" s="189" t="s">
        <v>195</v>
      </c>
      <c r="G367" s="189"/>
      <c r="H367" s="470"/>
    </row>
    <row r="368" spans="1:26" ht="13.5" hidden="1" thickBot="1" x14ac:dyDescent="0.25">
      <c r="A368" s="489" t="s">
        <v>217</v>
      </c>
      <c r="B368" s="490" t="s">
        <v>12</v>
      </c>
      <c r="C368" s="490"/>
      <c r="D368" s="491"/>
      <c r="E368" s="490" t="s">
        <v>197</v>
      </c>
      <c r="F368" s="490" t="s">
        <v>197</v>
      </c>
      <c r="G368" s="490"/>
      <c r="H368" s="492"/>
    </row>
    <row r="369" spans="1:18" ht="13.5" hidden="1" thickBot="1" x14ac:dyDescent="0.25">
      <c r="A369" s="507" t="s">
        <v>64</v>
      </c>
      <c r="B369" s="504"/>
      <c r="C369" s="504"/>
      <c r="D369" s="504"/>
      <c r="E369" s="504"/>
      <c r="F369" s="504"/>
      <c r="G369" s="504"/>
      <c r="H369" s="508"/>
    </row>
    <row r="370" spans="1:18" ht="13.5" hidden="1" thickBot="1" x14ac:dyDescent="0.25">
      <c r="A370" s="509" t="s">
        <v>0</v>
      </c>
      <c r="B370" s="510"/>
      <c r="C370" s="510"/>
      <c r="D370" s="510"/>
      <c r="E370" s="510"/>
      <c r="F370" s="510"/>
      <c r="G370" s="510"/>
      <c r="H370" s="511"/>
    </row>
    <row r="371" spans="1:18" ht="13.5" hidden="1" thickBot="1" x14ac:dyDescent="0.25">
      <c r="A371" s="509"/>
      <c r="B371" s="510"/>
      <c r="C371" s="510"/>
      <c r="D371" s="510"/>
      <c r="E371" s="510"/>
      <c r="F371" s="510"/>
      <c r="G371" s="510"/>
      <c r="H371" s="511"/>
    </row>
    <row r="372" spans="1:18" ht="13.5" hidden="1" thickBot="1" x14ac:dyDescent="0.25">
      <c r="A372" s="512" t="s">
        <v>60</v>
      </c>
      <c r="B372" s="510"/>
      <c r="C372" s="510"/>
      <c r="D372" s="510"/>
      <c r="E372" s="510"/>
      <c r="F372" s="510"/>
      <c r="G372" s="510"/>
      <c r="H372" s="511"/>
    </row>
    <row r="373" spans="1:18" ht="13.5" hidden="1" thickBot="1" x14ac:dyDescent="0.25">
      <c r="A373" s="513" t="s">
        <v>227</v>
      </c>
      <c r="B373" s="510"/>
      <c r="C373" s="510"/>
      <c r="D373" s="510"/>
      <c r="E373" s="510"/>
      <c r="F373" s="510"/>
      <c r="G373" s="510"/>
      <c r="H373" s="511"/>
    </row>
    <row r="374" spans="1:18" ht="13.5" hidden="1" thickBot="1" x14ac:dyDescent="0.25">
      <c r="A374" s="513"/>
      <c r="B374" s="510"/>
      <c r="C374" s="510"/>
      <c r="D374" s="510"/>
      <c r="E374" s="510"/>
      <c r="F374" s="510"/>
      <c r="G374" s="510"/>
      <c r="H374" s="511"/>
      <c r="L374" s="257" t="s">
        <v>146</v>
      </c>
      <c r="M374" s="75" t="s">
        <v>6</v>
      </c>
      <c r="N374" s="75"/>
      <c r="O374" s="257" t="s">
        <v>146</v>
      </c>
      <c r="P374" s="413" t="s">
        <v>6</v>
      </c>
      <c r="R374" s="85" t="s">
        <v>147</v>
      </c>
    </row>
    <row r="375" spans="1:18" ht="13.5" hidden="1" thickBot="1" x14ac:dyDescent="0.25">
      <c r="A375" s="1023"/>
      <c r="B375" s="1024"/>
      <c r="C375" s="506" t="s">
        <v>6</v>
      </c>
      <c r="D375" s="1025" t="s">
        <v>47</v>
      </c>
      <c r="E375" s="1026"/>
      <c r="F375" s="1027"/>
      <c r="G375" s="1025" t="s">
        <v>13</v>
      </c>
      <c r="H375" s="1028"/>
      <c r="I375" s="505" t="s">
        <v>6</v>
      </c>
      <c r="J375" s="506" t="s">
        <v>47</v>
      </c>
      <c r="K375" s="506" t="s">
        <v>13</v>
      </c>
      <c r="L375" s="257" t="s">
        <v>130</v>
      </c>
      <c r="M375" s="260" t="s">
        <v>148</v>
      </c>
      <c r="N375" s="75"/>
      <c r="O375" s="257" t="s">
        <v>130</v>
      </c>
      <c r="P375" s="414" t="s">
        <v>130</v>
      </c>
      <c r="R375" s="80" t="s">
        <v>130</v>
      </c>
    </row>
    <row r="376" spans="1:18" ht="13.5" hidden="1" thickBot="1" x14ac:dyDescent="0.25">
      <c r="A376" s="512" t="s">
        <v>149</v>
      </c>
      <c r="B376" s="510"/>
      <c r="C376" s="514"/>
      <c r="D376" s="514"/>
      <c r="E376" s="514"/>
      <c r="F376" s="514"/>
      <c r="G376" s="514"/>
      <c r="H376" s="515"/>
      <c r="J376" s="93"/>
      <c r="L376" s="93">
        <v>18</v>
      </c>
      <c r="M376" s="93">
        <v>5</v>
      </c>
      <c r="O376" s="93">
        <v>112</v>
      </c>
      <c r="P376" s="93">
        <v>301</v>
      </c>
      <c r="R376" s="93">
        <v>873</v>
      </c>
    </row>
    <row r="377" spans="1:18" ht="13.5" hidden="1" thickBot="1" x14ac:dyDescent="0.25">
      <c r="A377" s="509" t="s">
        <v>150</v>
      </c>
      <c r="B377" s="510" t="s">
        <v>135</v>
      </c>
      <c r="C377" s="516" t="e">
        <f>#REF!</f>
        <v>#REF!</v>
      </c>
      <c r="D377" s="516"/>
      <c r="E377" s="516" t="e">
        <f>E381-E378-E379-E380</f>
        <v>#REF!</v>
      </c>
      <c r="F377" s="516"/>
      <c r="G377" s="516" t="e">
        <f>G381-G378-G379-G380</f>
        <v>#REF!</v>
      </c>
      <c r="H377" s="511"/>
      <c r="I377" s="30">
        <v>4.7754000000000003</v>
      </c>
      <c r="J377" s="30">
        <f>I377</f>
        <v>4.7754000000000003</v>
      </c>
      <c r="K377" s="30">
        <f>J377</f>
        <v>4.7754000000000003</v>
      </c>
      <c r="L377" s="80">
        <f>L376*(I377+I379+I380)</f>
        <v>85.9572</v>
      </c>
      <c r="M377" s="80">
        <f>M376*(I377+I379+I380)</f>
        <v>23.877000000000002</v>
      </c>
      <c r="O377" s="80">
        <f>O376*(I377+I379+I380)</f>
        <v>534.84480000000008</v>
      </c>
      <c r="P377" s="80">
        <f>P376*(I377+I379+I380)</f>
        <v>1437.3954000000001</v>
      </c>
      <c r="R377" s="80">
        <f>R376*(J377+J379+J380)</f>
        <v>4168.9242000000004</v>
      </c>
    </row>
    <row r="378" spans="1:18" ht="13.5" hidden="1" thickBot="1" x14ac:dyDescent="0.25">
      <c r="A378" s="509" t="s">
        <v>151</v>
      </c>
      <c r="B378" s="510" t="s">
        <v>135</v>
      </c>
      <c r="C378" s="516"/>
      <c r="D378" s="516"/>
      <c r="E378" s="516"/>
      <c r="F378" s="516"/>
      <c r="G378" s="516"/>
      <c r="H378" s="517"/>
      <c r="L378" s="80">
        <f>L376*I378</f>
        <v>0</v>
      </c>
      <c r="M378" s="80">
        <f>M376*I378</f>
        <v>0</v>
      </c>
      <c r="O378" s="80">
        <f>O376*I378</f>
        <v>0</v>
      </c>
      <c r="P378" s="80">
        <f>P376*I378</f>
        <v>0</v>
      </c>
      <c r="R378" s="80">
        <f>R376*J378</f>
        <v>0</v>
      </c>
    </row>
    <row r="379" spans="1:18" ht="13.5" hidden="1" thickBot="1" x14ac:dyDescent="0.25">
      <c r="A379" s="509" t="s">
        <v>232</v>
      </c>
      <c r="B379" s="510" t="s">
        <v>135</v>
      </c>
      <c r="C379" s="516"/>
      <c r="D379" s="516"/>
      <c r="E379" s="516"/>
      <c r="F379" s="516"/>
      <c r="G379" s="516"/>
      <c r="H379" s="517"/>
      <c r="M379" s="80"/>
      <c r="O379" s="80"/>
      <c r="P379" s="80"/>
      <c r="R379" s="80"/>
    </row>
    <row r="380" spans="1:18" ht="13.5" hidden="1" thickBot="1" x14ac:dyDescent="0.25">
      <c r="A380" s="509" t="s">
        <v>233</v>
      </c>
      <c r="B380" s="510" t="s">
        <v>135</v>
      </c>
      <c r="C380" s="516"/>
      <c r="D380" s="516"/>
      <c r="E380" s="516"/>
      <c r="F380" s="516"/>
      <c r="G380" s="516"/>
      <c r="H380" s="517"/>
      <c r="M380" s="80"/>
      <c r="O380" s="80"/>
      <c r="P380" s="80"/>
      <c r="R380" s="80"/>
    </row>
    <row r="381" spans="1:18" ht="13.5" hidden="1" thickBot="1" x14ac:dyDescent="0.25">
      <c r="A381" s="509" t="s">
        <v>154</v>
      </c>
      <c r="B381" s="510"/>
      <c r="C381" s="518" t="e">
        <f>#REF!</f>
        <v>#REF!</v>
      </c>
      <c r="D381" s="518"/>
      <c r="E381" s="518" t="e">
        <f>C381</f>
        <v>#REF!</v>
      </c>
      <c r="F381" s="518"/>
      <c r="G381" s="518" t="e">
        <f>C381</f>
        <v>#REF!</v>
      </c>
      <c r="H381" s="519"/>
      <c r="M381" s="80"/>
      <c r="O381" s="80"/>
      <c r="P381" s="80"/>
      <c r="R381" s="80"/>
    </row>
    <row r="382" spans="1:18" ht="13.5" hidden="1" thickBot="1" x14ac:dyDescent="0.25">
      <c r="A382" s="512" t="s">
        <v>155</v>
      </c>
      <c r="B382" s="510" t="s">
        <v>135</v>
      </c>
      <c r="C382" s="516"/>
      <c r="D382" s="516"/>
      <c r="E382" s="516"/>
      <c r="F382" s="516"/>
      <c r="G382" s="516"/>
      <c r="H382" s="511"/>
      <c r="I382" s="64"/>
      <c r="J382" s="101"/>
      <c r="K382" s="101"/>
      <c r="L382" s="80">
        <f>L376*I382</f>
        <v>0</v>
      </c>
      <c r="M382" s="80">
        <f>M376*I382</f>
        <v>0</v>
      </c>
      <c r="O382" s="102">
        <f>O376*I382</f>
        <v>0</v>
      </c>
      <c r="P382" s="102">
        <f>P376*I382</f>
        <v>0</v>
      </c>
      <c r="R382" s="102">
        <f>R376*J382</f>
        <v>0</v>
      </c>
    </row>
    <row r="383" spans="1:18" ht="13.5" hidden="1" thickBot="1" x14ac:dyDescent="0.25">
      <c r="A383" s="512" t="s">
        <v>156</v>
      </c>
      <c r="B383" s="510"/>
      <c r="C383" s="516"/>
      <c r="D383" s="516"/>
      <c r="E383" s="516"/>
      <c r="F383" s="516"/>
      <c r="G383" s="516"/>
      <c r="H383" s="511"/>
      <c r="M383" s="80"/>
      <c r="O383" s="80"/>
      <c r="P383" s="80"/>
      <c r="R383" s="80"/>
    </row>
    <row r="384" spans="1:18" ht="13.5" hidden="1" thickBot="1" x14ac:dyDescent="0.25">
      <c r="A384" s="509" t="s">
        <v>157</v>
      </c>
      <c r="B384" s="510" t="s">
        <v>158</v>
      </c>
      <c r="C384" s="516"/>
      <c r="D384" s="516"/>
      <c r="E384" s="516"/>
      <c r="F384" s="516"/>
      <c r="G384" s="516" t="e">
        <f>#REF!</f>
        <v>#REF!</v>
      </c>
      <c r="H384" s="517"/>
      <c r="K384" s="64">
        <v>244.47229999999999</v>
      </c>
      <c r="M384" s="80"/>
      <c r="O384" s="80"/>
      <c r="P384" s="80"/>
      <c r="R384" s="80"/>
    </row>
    <row r="385" spans="1:18" ht="13.5" hidden="1" thickBot="1" x14ac:dyDescent="0.25">
      <c r="A385" s="509" t="s">
        <v>159</v>
      </c>
      <c r="B385" s="510" t="s">
        <v>135</v>
      </c>
      <c r="C385" s="516" t="e">
        <f>#REF!</f>
        <v>#REF!</v>
      </c>
      <c r="D385" s="516"/>
      <c r="E385" s="516" t="e">
        <f>#REF!</f>
        <v>#REF!</v>
      </c>
      <c r="F385" s="516"/>
      <c r="G385" s="516"/>
      <c r="H385" s="517"/>
      <c r="I385" s="30">
        <v>0.77149999999999996</v>
      </c>
      <c r="J385" s="64">
        <v>0.76519999999999999</v>
      </c>
      <c r="L385" s="80">
        <f>L376*I385</f>
        <v>13.886999999999999</v>
      </c>
      <c r="M385" s="80">
        <f>M376*I385</f>
        <v>3.8574999999999999</v>
      </c>
      <c r="O385" s="80">
        <f>O376*I385</f>
        <v>86.408000000000001</v>
      </c>
      <c r="P385" s="80">
        <f>P376*I385</f>
        <v>232.22149999999999</v>
      </c>
      <c r="R385" s="80">
        <f>R376*J385</f>
        <v>668.01959999999997</v>
      </c>
    </row>
    <row r="386" spans="1:18" ht="13.5" hidden="1" thickBot="1" x14ac:dyDescent="0.25">
      <c r="A386" s="512" t="s">
        <v>160</v>
      </c>
      <c r="B386" s="510" t="s">
        <v>135</v>
      </c>
      <c r="C386" s="516" t="e">
        <f>#REF!</f>
        <v>#REF!</v>
      </c>
      <c r="D386" s="516"/>
      <c r="E386" s="516" t="e">
        <f>C386</f>
        <v>#REF!</v>
      </c>
      <c r="F386" s="516"/>
      <c r="G386" s="516" t="e">
        <f>C386</f>
        <v>#REF!</v>
      </c>
      <c r="H386" s="517"/>
      <c r="I386" s="30">
        <v>0.71040000000000003</v>
      </c>
      <c r="J386" s="30">
        <v>0.71040000000000003</v>
      </c>
      <c r="K386" s="30">
        <v>0.62290000000000001</v>
      </c>
      <c r="L386" s="80">
        <f>L376*I386</f>
        <v>12.7872</v>
      </c>
      <c r="M386" s="80">
        <f>M376*I386</f>
        <v>3.552</v>
      </c>
      <c r="O386" s="80">
        <f>O376*I386</f>
        <v>79.564800000000005</v>
      </c>
      <c r="P386" s="80">
        <f>P376*I386</f>
        <v>213.8304</v>
      </c>
      <c r="R386" s="80">
        <f>R376*J386</f>
        <v>620.17920000000004</v>
      </c>
    </row>
    <row r="387" spans="1:18" ht="13.5" hidden="1" thickBot="1" x14ac:dyDescent="0.25">
      <c r="A387" s="509"/>
      <c r="B387" s="510"/>
      <c r="C387" s="516"/>
      <c r="D387" s="516"/>
      <c r="E387" s="516"/>
      <c r="F387" s="516"/>
      <c r="G387" s="516"/>
      <c r="H387" s="517"/>
      <c r="M387" s="80"/>
      <c r="O387" s="80"/>
      <c r="P387" s="80"/>
      <c r="R387" s="80"/>
    </row>
    <row r="388" spans="1:18" ht="13.5" hidden="1" thickBot="1" x14ac:dyDescent="0.25">
      <c r="A388" s="512" t="s">
        <v>161</v>
      </c>
      <c r="B388" s="510"/>
      <c r="C388" s="516"/>
      <c r="D388" s="516"/>
      <c r="E388" s="516"/>
      <c r="F388" s="516"/>
      <c r="G388" s="516"/>
      <c r="H388" s="517"/>
      <c r="M388" s="80"/>
      <c r="O388" s="80"/>
      <c r="P388" s="80"/>
      <c r="R388" s="80"/>
    </row>
    <row r="389" spans="1:18" ht="13.5" hidden="1" thickBot="1" x14ac:dyDescent="0.25">
      <c r="A389" s="509" t="s">
        <v>162</v>
      </c>
      <c r="B389" s="510" t="s">
        <v>158</v>
      </c>
      <c r="C389" s="516"/>
      <c r="D389" s="516"/>
      <c r="E389" s="516"/>
      <c r="F389" s="516"/>
      <c r="G389" s="520">
        <v>267.89999999999998</v>
      </c>
      <c r="H389" s="517"/>
      <c r="K389" s="101">
        <v>267.89999999999998</v>
      </c>
      <c r="M389" s="80"/>
      <c r="O389" s="80"/>
      <c r="P389" s="80"/>
      <c r="R389" s="80"/>
    </row>
    <row r="390" spans="1:18" ht="13.5" hidden="1" thickBot="1" x14ac:dyDescent="0.25">
      <c r="A390" s="509" t="s">
        <v>163</v>
      </c>
      <c r="B390" s="510" t="s">
        <v>135</v>
      </c>
      <c r="C390" s="516">
        <v>0.84489999999999998</v>
      </c>
      <c r="D390" s="521"/>
      <c r="E390" s="522">
        <v>0.92589999999999995</v>
      </c>
      <c r="F390" s="516"/>
      <c r="G390" s="516"/>
      <c r="H390" s="517"/>
      <c r="I390" s="30">
        <v>0.84489999999999998</v>
      </c>
      <c r="J390" s="30">
        <v>0.92589999999999995</v>
      </c>
      <c r="L390" s="80">
        <f>L376*I390</f>
        <v>15.2082</v>
      </c>
      <c r="M390" s="80">
        <f>M376*I390</f>
        <v>4.2244999999999999</v>
      </c>
      <c r="O390" s="102">
        <f>O376*I390</f>
        <v>94.628799999999998</v>
      </c>
      <c r="P390" s="102">
        <f>P376*I390</f>
        <v>254.31489999999999</v>
      </c>
      <c r="R390" s="102">
        <f>R376*J390</f>
        <v>808.3107</v>
      </c>
    </row>
    <row r="391" spans="1:18" ht="13.5" hidden="1" thickBot="1" x14ac:dyDescent="0.25">
      <c r="A391" s="512" t="s">
        <v>164</v>
      </c>
      <c r="B391" s="510"/>
      <c r="C391" s="516"/>
      <c r="D391" s="521"/>
      <c r="E391" s="516"/>
      <c r="F391" s="516"/>
      <c r="G391" s="516"/>
      <c r="H391" s="517"/>
      <c r="M391" s="80"/>
      <c r="O391" s="102"/>
      <c r="P391" s="102"/>
      <c r="R391" s="102"/>
    </row>
    <row r="392" spans="1:18" ht="13.5" hidden="1" thickBot="1" x14ac:dyDescent="0.25">
      <c r="A392" s="509" t="s">
        <v>165</v>
      </c>
      <c r="B392" s="510" t="s">
        <v>166</v>
      </c>
      <c r="C392" s="516"/>
      <c r="D392" s="521"/>
      <c r="E392" s="523">
        <v>40.15</v>
      </c>
      <c r="F392" s="520"/>
      <c r="G392" s="523">
        <v>40.15</v>
      </c>
      <c r="H392" s="517"/>
      <c r="J392" s="30">
        <v>40.15</v>
      </c>
      <c r="K392" s="30">
        <v>40.15</v>
      </c>
      <c r="M392" s="80"/>
      <c r="O392" s="102"/>
      <c r="P392" s="102"/>
      <c r="R392" s="103">
        <f>G392</f>
        <v>40.15</v>
      </c>
    </row>
    <row r="393" spans="1:18" ht="13.5" hidden="1" thickBot="1" x14ac:dyDescent="0.25">
      <c r="A393" s="509" t="s">
        <v>167</v>
      </c>
      <c r="B393" s="510" t="s">
        <v>135</v>
      </c>
      <c r="C393" s="516">
        <v>0.7732</v>
      </c>
      <c r="D393" s="521"/>
      <c r="E393" s="520"/>
      <c r="F393" s="520"/>
      <c r="G393" s="520"/>
      <c r="H393" s="517"/>
      <c r="I393" s="30">
        <v>0.7732</v>
      </c>
      <c r="L393" s="80">
        <f>L376*I393</f>
        <v>13.9176</v>
      </c>
      <c r="M393" s="80">
        <f>M376*I393</f>
        <v>3.8660000000000001</v>
      </c>
      <c r="O393" s="102">
        <f>O376*I393</f>
        <v>86.598399999999998</v>
      </c>
      <c r="P393" s="102">
        <f>P376*I393</f>
        <v>232.73320000000001</v>
      </c>
      <c r="R393" s="102">
        <f>R376*J393</f>
        <v>0</v>
      </c>
    </row>
    <row r="394" spans="1:18" ht="13.5" hidden="1" thickBot="1" x14ac:dyDescent="0.25">
      <c r="A394" s="512" t="s">
        <v>168</v>
      </c>
      <c r="B394" s="510"/>
      <c r="C394" s="510"/>
      <c r="D394" s="521"/>
      <c r="E394" s="520"/>
      <c r="F394" s="520"/>
      <c r="G394" s="520"/>
      <c r="H394" s="517"/>
      <c r="M394" s="80"/>
      <c r="O394" s="102"/>
      <c r="P394" s="102"/>
      <c r="R394" s="102"/>
    </row>
    <row r="395" spans="1:18" ht="13.5" hidden="1" thickBot="1" x14ac:dyDescent="0.25">
      <c r="A395" s="509" t="s">
        <v>221</v>
      </c>
      <c r="B395" s="510" t="s">
        <v>170</v>
      </c>
      <c r="C395" s="516">
        <v>5</v>
      </c>
      <c r="D395" s="521"/>
      <c r="E395" s="523">
        <v>28.72</v>
      </c>
      <c r="F395" s="520"/>
      <c r="G395" s="523">
        <v>28.72</v>
      </c>
      <c r="H395" s="517"/>
      <c r="I395" s="101">
        <v>5</v>
      </c>
      <c r="J395" s="30">
        <v>28.72</v>
      </c>
      <c r="K395" s="30">
        <v>28.72</v>
      </c>
      <c r="L395" s="80">
        <v>5</v>
      </c>
      <c r="M395" s="80">
        <v>5</v>
      </c>
      <c r="O395" s="102">
        <v>5</v>
      </c>
      <c r="P395" s="102">
        <v>5</v>
      </c>
      <c r="R395" s="103">
        <f>G395</f>
        <v>28.72</v>
      </c>
    </row>
    <row r="396" spans="1:18" ht="13.5" hidden="1" thickBot="1" x14ac:dyDescent="0.25">
      <c r="A396" s="509" t="s">
        <v>171</v>
      </c>
      <c r="B396" s="510" t="s">
        <v>135</v>
      </c>
      <c r="C396" s="516">
        <v>0.45689999999999997</v>
      </c>
      <c r="D396" s="516"/>
      <c r="E396" s="516"/>
      <c r="F396" s="516"/>
      <c r="G396" s="516"/>
      <c r="H396" s="517"/>
      <c r="I396" s="30">
        <v>0.45689999999999997</v>
      </c>
      <c r="L396" s="80">
        <f>L376*I396</f>
        <v>8.2241999999999997</v>
      </c>
      <c r="M396" s="80">
        <f>M376*I396</f>
        <v>2.2845</v>
      </c>
      <c r="O396" s="102">
        <f>O376*I396</f>
        <v>51.172799999999995</v>
      </c>
      <c r="P396" s="102">
        <f>P376*I396</f>
        <v>137.52689999999998</v>
      </c>
      <c r="R396" s="102"/>
    </row>
    <row r="397" spans="1:18" ht="13.5" hidden="1" thickBot="1" x14ac:dyDescent="0.25">
      <c r="A397" s="512" t="s">
        <v>172</v>
      </c>
      <c r="B397" s="510" t="s">
        <v>135</v>
      </c>
      <c r="C397" s="516" t="e">
        <f>#REF!</f>
        <v>#REF!</v>
      </c>
      <c r="D397" s="521"/>
      <c r="E397" s="522" t="e">
        <f>C397</f>
        <v>#REF!</v>
      </c>
      <c r="F397" s="522"/>
      <c r="G397" s="522" t="e">
        <f>C397</f>
        <v>#REF!</v>
      </c>
      <c r="H397" s="517"/>
      <c r="I397" s="64">
        <v>9.1300000000000006E-2</v>
      </c>
      <c r="J397" s="64">
        <f t="shared" ref="J397:J402" si="6">I397</f>
        <v>9.1300000000000006E-2</v>
      </c>
      <c r="K397" s="64">
        <f t="shared" ref="K397:K402" si="7">I397</f>
        <v>9.1300000000000006E-2</v>
      </c>
      <c r="L397" s="80">
        <f>-(L377+L378+L385+L386+L390+L393+L395+L396)*5%</f>
        <v>-7.7490700000000006</v>
      </c>
      <c r="M397" s="80">
        <f>-(M377+M378+M385+M386+M390+M393+M395+M396)*25%</f>
        <v>-11.665375000000001</v>
      </c>
      <c r="O397" s="102">
        <f>O376*I397</f>
        <v>10.2256</v>
      </c>
      <c r="P397" s="464">
        <f>P376*I397</f>
        <v>27.481300000000001</v>
      </c>
      <c r="R397" s="102">
        <f>R376*J397</f>
        <v>79.704900000000009</v>
      </c>
    </row>
    <row r="398" spans="1:18" ht="13.5" hidden="1" thickBot="1" x14ac:dyDescent="0.25">
      <c r="A398" s="512" t="s">
        <v>173</v>
      </c>
      <c r="B398" s="510"/>
      <c r="C398" s="516" t="e">
        <f>#REF!</f>
        <v>#REF!</v>
      </c>
      <c r="D398" s="521"/>
      <c r="E398" s="522" t="e">
        <f>C398</f>
        <v>#REF!</v>
      </c>
      <c r="F398" s="522"/>
      <c r="G398" s="522" t="e">
        <f>C398</f>
        <v>#REF!</v>
      </c>
      <c r="H398" s="517"/>
      <c r="I398" s="30">
        <v>1.4E-3</v>
      </c>
      <c r="J398" s="64">
        <f t="shared" si="6"/>
        <v>1.4E-3</v>
      </c>
      <c r="K398" s="64">
        <f t="shared" si="7"/>
        <v>1.4E-3</v>
      </c>
      <c r="L398" s="106">
        <f>L376*I398</f>
        <v>2.52E-2</v>
      </c>
      <c r="M398" s="80"/>
      <c r="O398" s="80">
        <f>-(O377+O378+O385+O386+O390+O393+O395+O396+O397)*5%</f>
        <v>-47.422159999999998</v>
      </c>
      <c r="P398" s="465">
        <f>P376*I398</f>
        <v>0.4214</v>
      </c>
      <c r="R398" s="107">
        <f>R376*J398</f>
        <v>1.2222</v>
      </c>
    </row>
    <row r="399" spans="1:18" ht="13.5" hidden="1" thickBot="1" x14ac:dyDescent="0.25">
      <c r="A399" s="512" t="s">
        <v>174</v>
      </c>
      <c r="B399" s="510"/>
      <c r="C399" s="516"/>
      <c r="D399" s="516"/>
      <c r="E399" s="516"/>
      <c r="F399" s="516"/>
      <c r="G399" s="516"/>
      <c r="H399" s="517"/>
      <c r="I399" s="30">
        <v>0.40039999999999998</v>
      </c>
      <c r="J399" s="64">
        <f t="shared" si="6"/>
        <v>0.40039999999999998</v>
      </c>
      <c r="K399" s="64">
        <f t="shared" si="7"/>
        <v>0.40039999999999998</v>
      </c>
      <c r="L399" s="80">
        <f>L376*I399</f>
        <v>7.2071999999999994</v>
      </c>
      <c r="M399" s="80">
        <f>M376*J399</f>
        <v>2.0019999999999998</v>
      </c>
      <c r="O399" s="80">
        <f>O376*I399</f>
        <v>44.844799999999999</v>
      </c>
      <c r="P399" s="80">
        <f>P376*I399</f>
        <v>120.5204</v>
      </c>
      <c r="R399" s="107">
        <f>R376*J399</f>
        <v>349.54919999999998</v>
      </c>
    </row>
    <row r="400" spans="1:18" ht="13.5" hidden="1" thickBot="1" x14ac:dyDescent="0.25">
      <c r="A400" s="509" t="s">
        <v>175</v>
      </c>
      <c r="B400" s="510" t="s">
        <v>135</v>
      </c>
      <c r="C400" s="516">
        <f>0.1163</f>
        <v>0.1163</v>
      </c>
      <c r="D400" s="516"/>
      <c r="E400" s="516">
        <f>C400</f>
        <v>0.1163</v>
      </c>
      <c r="F400" s="516"/>
      <c r="G400" s="516">
        <f>C400</f>
        <v>0.1163</v>
      </c>
      <c r="H400" s="524"/>
      <c r="I400" s="30">
        <v>0.1163</v>
      </c>
      <c r="J400" s="64">
        <f t="shared" si="6"/>
        <v>0.1163</v>
      </c>
      <c r="K400" s="64">
        <f t="shared" si="7"/>
        <v>0.1163</v>
      </c>
      <c r="L400" s="80">
        <f>L376*I400</f>
        <v>2.0933999999999999</v>
      </c>
      <c r="M400" s="80">
        <f>M376*I400</f>
        <v>0.58150000000000002</v>
      </c>
      <c r="O400" s="80">
        <f>O376*I400</f>
        <v>13.025600000000001</v>
      </c>
      <c r="P400" s="80">
        <f>P376*I400</f>
        <v>35.006300000000003</v>
      </c>
      <c r="R400" s="80">
        <f>R376*J400</f>
        <v>101.5299</v>
      </c>
    </row>
    <row r="401" spans="1:18" ht="13.5" hidden="1" thickBot="1" x14ac:dyDescent="0.25">
      <c r="A401" s="509" t="s">
        <v>176</v>
      </c>
      <c r="B401" s="510" t="s">
        <v>135</v>
      </c>
      <c r="C401" s="516">
        <v>2.5000000000000001E-3</v>
      </c>
      <c r="D401" s="516"/>
      <c r="E401" s="516">
        <v>2.5000000000000001E-3</v>
      </c>
      <c r="F401" s="516"/>
      <c r="G401" s="522">
        <f>C401</f>
        <v>2.5000000000000001E-3</v>
      </c>
      <c r="H401" s="517"/>
      <c r="I401" s="30">
        <v>2.5000000000000001E-3</v>
      </c>
      <c r="J401" s="64">
        <f t="shared" si="6"/>
        <v>2.5000000000000001E-3</v>
      </c>
      <c r="K401" s="64">
        <f t="shared" si="7"/>
        <v>2.5000000000000001E-3</v>
      </c>
      <c r="L401" s="80">
        <f>$L$141*I401</f>
        <v>1.7500000000000002E-2</v>
      </c>
      <c r="M401" s="80">
        <f>M376*I401</f>
        <v>1.2500000000000001E-2</v>
      </c>
      <c r="O401" s="80">
        <f>O376*I401</f>
        <v>0.28000000000000003</v>
      </c>
      <c r="P401" s="80">
        <f>P376*I401</f>
        <v>0.75250000000000006</v>
      </c>
      <c r="R401" s="80">
        <f>R376*J401</f>
        <v>2.1825000000000001</v>
      </c>
    </row>
    <row r="402" spans="1:18" ht="13.5" hidden="1" thickBot="1" x14ac:dyDescent="0.25">
      <c r="A402" s="509" t="s">
        <v>200</v>
      </c>
      <c r="B402" s="510" t="s">
        <v>135</v>
      </c>
      <c r="C402" s="516">
        <f>0.1938</f>
        <v>0.1938</v>
      </c>
      <c r="D402" s="516"/>
      <c r="E402" s="516">
        <f>C402</f>
        <v>0.1938</v>
      </c>
      <c r="F402" s="516"/>
      <c r="G402" s="522">
        <f>C402</f>
        <v>0.1938</v>
      </c>
      <c r="H402" s="524"/>
      <c r="I402" s="30">
        <v>0.1938</v>
      </c>
      <c r="J402" s="64">
        <f t="shared" si="6"/>
        <v>0.1938</v>
      </c>
      <c r="K402" s="64">
        <f t="shared" si="7"/>
        <v>0.1938</v>
      </c>
      <c r="L402" s="80">
        <f>$L$141*I402</f>
        <v>1.3566</v>
      </c>
      <c r="M402" s="80">
        <f>M376*I402</f>
        <v>0.96899999999999997</v>
      </c>
      <c r="O402" s="80">
        <f>O376*I402</f>
        <v>21.7056</v>
      </c>
      <c r="P402" s="80">
        <f>P376*I402</f>
        <v>58.333799999999997</v>
      </c>
      <c r="R402" s="80">
        <f>R376*J402</f>
        <v>169.1874</v>
      </c>
    </row>
    <row r="403" spans="1:18" ht="13.5" hidden="1" thickBot="1" x14ac:dyDescent="0.25">
      <c r="A403" s="525" t="s">
        <v>182</v>
      </c>
      <c r="B403" s="510"/>
      <c r="C403" s="516"/>
      <c r="D403" s="516"/>
      <c r="E403" s="516"/>
      <c r="F403" s="516"/>
      <c r="G403" s="522"/>
      <c r="H403" s="524"/>
      <c r="I403" s="64"/>
      <c r="J403" s="64"/>
      <c r="K403" s="64"/>
      <c r="L403" s="80">
        <f>L376*I403</f>
        <v>0</v>
      </c>
      <c r="M403" s="80">
        <f>M376*I403</f>
        <v>0</v>
      </c>
      <c r="O403" s="80">
        <f>O376*I403</f>
        <v>0</v>
      </c>
      <c r="P403" s="80"/>
      <c r="R403" s="80">
        <f>R376*J403</f>
        <v>0</v>
      </c>
    </row>
    <row r="404" spans="1:18" ht="13.5" hidden="1" thickBot="1" x14ac:dyDescent="0.25">
      <c r="A404" s="509" t="s">
        <v>211</v>
      </c>
      <c r="B404" s="510" t="s">
        <v>135</v>
      </c>
      <c r="C404" s="516" t="e">
        <f>#REF!</f>
        <v>#REF!</v>
      </c>
      <c r="D404" s="516"/>
      <c r="E404" s="516" t="e">
        <f>C404</f>
        <v>#REF!</v>
      </c>
      <c r="F404" s="516"/>
      <c r="G404" s="522" t="e">
        <f>C404</f>
        <v>#REF!</v>
      </c>
      <c r="H404" s="524"/>
      <c r="I404" s="30">
        <v>0.23180000000000001</v>
      </c>
      <c r="J404" s="64">
        <f t="shared" ref="J404:K406" si="8">I404</f>
        <v>0.23180000000000001</v>
      </c>
      <c r="K404" s="64">
        <f t="shared" si="8"/>
        <v>0.23180000000000001</v>
      </c>
      <c r="L404" s="115">
        <f>SUM(L377:L403)</f>
        <v>157.93223000000003</v>
      </c>
      <c r="M404" s="116">
        <f>SUM(M377:M403)</f>
        <v>38.561125000000011</v>
      </c>
      <c r="N404" s="30" t="s">
        <v>180</v>
      </c>
      <c r="O404" s="80">
        <f>O376*I404</f>
        <v>25.961600000000001</v>
      </c>
      <c r="P404" s="80">
        <f>P376*I404</f>
        <v>69.771799999999999</v>
      </c>
      <c r="R404" s="80">
        <f>R376*J404</f>
        <v>202.3614</v>
      </c>
    </row>
    <row r="405" spans="1:18" ht="13.5" hidden="1" thickBot="1" x14ac:dyDescent="0.25">
      <c r="A405" s="509" t="s">
        <v>212</v>
      </c>
      <c r="B405" s="510" t="s">
        <v>135</v>
      </c>
      <c r="C405" s="516" t="e">
        <f>#REF!</f>
        <v>#REF!</v>
      </c>
      <c r="D405" s="516"/>
      <c r="E405" s="516" t="e">
        <f>C405</f>
        <v>#REF!</v>
      </c>
      <c r="F405" s="516"/>
      <c r="G405" s="522" t="e">
        <f>C405</f>
        <v>#REF!</v>
      </c>
      <c r="H405" s="524"/>
      <c r="I405" s="30">
        <v>3.0000000000000001E-3</v>
      </c>
      <c r="J405" s="64">
        <f t="shared" si="8"/>
        <v>3.0000000000000001E-3</v>
      </c>
      <c r="K405" s="64">
        <f t="shared" si="8"/>
        <v>3.0000000000000001E-3</v>
      </c>
      <c r="N405" s="30" t="s">
        <v>183</v>
      </c>
      <c r="O405" s="80">
        <f>O376*I405</f>
        <v>0.33600000000000002</v>
      </c>
      <c r="P405" s="80">
        <f>P376*I405</f>
        <v>0.90300000000000002</v>
      </c>
      <c r="R405" s="80">
        <f>R376*J405</f>
        <v>2.6190000000000002</v>
      </c>
    </row>
    <row r="406" spans="1:18" ht="13.5" hidden="1" thickBot="1" x14ac:dyDescent="0.25">
      <c r="A406" s="509" t="s">
        <v>213</v>
      </c>
      <c r="B406" s="510" t="s">
        <v>135</v>
      </c>
      <c r="C406" s="516" t="e">
        <f>#REF!</f>
        <v>#REF!</v>
      </c>
      <c r="D406" s="516"/>
      <c r="E406" s="516" t="e">
        <f>C406</f>
        <v>#REF!</v>
      </c>
      <c r="F406" s="516"/>
      <c r="G406" s="521" t="e">
        <f>C406</f>
        <v>#REF!</v>
      </c>
      <c r="H406" s="524"/>
      <c r="I406" s="30">
        <v>0.03</v>
      </c>
      <c r="J406" s="64">
        <f t="shared" si="8"/>
        <v>0.03</v>
      </c>
      <c r="K406" s="64">
        <f t="shared" si="8"/>
        <v>0.03</v>
      </c>
      <c r="N406" s="30" t="s">
        <v>186</v>
      </c>
      <c r="O406" s="80">
        <f>O376*I406</f>
        <v>3.36</v>
      </c>
      <c r="P406" s="80">
        <f>P376*I406</f>
        <v>9.0299999999999994</v>
      </c>
      <c r="R406" s="80">
        <f>R376*J406</f>
        <v>26.189999999999998</v>
      </c>
    </row>
    <row r="407" spans="1:18" ht="13.5" hidden="1" thickBot="1" x14ac:dyDescent="0.25">
      <c r="A407" s="509" t="s">
        <v>214</v>
      </c>
      <c r="B407" s="510" t="s">
        <v>215</v>
      </c>
      <c r="C407" s="526">
        <v>0.12</v>
      </c>
      <c r="D407" s="516"/>
      <c r="E407" s="526">
        <v>0.12</v>
      </c>
      <c r="F407" s="516"/>
      <c r="G407" s="526">
        <v>0.12</v>
      </c>
      <c r="H407" s="524"/>
      <c r="I407" s="64"/>
      <c r="J407" s="64"/>
      <c r="K407" s="64"/>
      <c r="L407" s="107" t="s">
        <v>182</v>
      </c>
      <c r="O407" s="80">
        <f>O380*I407</f>
        <v>0</v>
      </c>
      <c r="P407" s="80"/>
      <c r="R407" s="80"/>
    </row>
    <row r="408" spans="1:18" ht="13.5" hidden="1" thickBot="1" x14ac:dyDescent="0.25">
      <c r="A408" s="527" t="s">
        <v>177</v>
      </c>
      <c r="B408" s="528" t="s">
        <v>135</v>
      </c>
      <c r="C408" s="529">
        <v>0.40039999999999998</v>
      </c>
      <c r="D408" s="529"/>
      <c r="E408" s="529">
        <v>0.40039999999999998</v>
      </c>
      <c r="F408" s="529"/>
      <c r="G408" s="530">
        <f>C408</f>
        <v>0.40039999999999998</v>
      </c>
      <c r="H408" s="531"/>
      <c r="I408" s="64"/>
      <c r="J408" s="64"/>
      <c r="K408" s="64"/>
      <c r="N408" s="30" t="s">
        <v>191</v>
      </c>
      <c r="O408" s="121">
        <f>(SUM(O382,O390:O397))*12%</f>
        <v>29.715071999999996</v>
      </c>
      <c r="P408" s="121">
        <f>(SUM(P382,P390:P397))*12%</f>
        <v>78.846755999999999</v>
      </c>
      <c r="R408" s="121">
        <f>(SUM(R382,R390:R397))*12%</f>
        <v>114.826272</v>
      </c>
    </row>
    <row r="409" spans="1:18" ht="13.5" hidden="1" thickBot="1" x14ac:dyDescent="0.25">
      <c r="A409" s="532" t="s">
        <v>178</v>
      </c>
      <c r="B409" s="533"/>
      <c r="C409" s="534">
        <f>4.7754+0.7715+0.7104+0.8449+0.7732+0.4569+0.0913+0.0014+0.1163+0.0025+0.1938+0.2318+0.03+0.003+0.4004</f>
        <v>9.4027999999999992</v>
      </c>
      <c r="D409" s="535"/>
      <c r="E409" s="534">
        <f>4.7754+0.7652+0.7104+0.9259+0.0913+0.0014+0.1163+0.0025+0.1938+0.2318+0.03+0.003+0.4004</f>
        <v>8.2474000000000007</v>
      </c>
      <c r="F409" s="535"/>
      <c r="G409" s="534" t="e">
        <f>G381+G382+G385+G386+G390+G393+G396+G397+G398+G400+G401+G402+G404+G405+G406+G408</f>
        <v>#REF!</v>
      </c>
      <c r="H409" s="536"/>
      <c r="I409" s="64"/>
      <c r="J409" s="64"/>
      <c r="K409" s="64"/>
      <c r="O409" s="116">
        <f>SUM(O404:O408)</f>
        <v>59.372671999999994</v>
      </c>
      <c r="P409" s="116">
        <f>SUM(P377:P408)</f>
        <v>2914.0895559999999</v>
      </c>
      <c r="R409" s="116">
        <f>SUM(R377:R408)</f>
        <v>7383.6764719999992</v>
      </c>
    </row>
    <row r="410" spans="1:18" ht="13.5" hidden="1" thickBot="1" x14ac:dyDescent="0.25">
      <c r="A410" s="532" t="s">
        <v>179</v>
      </c>
      <c r="B410" s="533" t="s">
        <v>166</v>
      </c>
      <c r="C410" s="537">
        <f>C395</f>
        <v>5</v>
      </c>
      <c r="D410" s="537"/>
      <c r="E410" s="537">
        <f>E392+E395</f>
        <v>68.87</v>
      </c>
      <c r="F410" s="537"/>
      <c r="G410" s="537">
        <f>G392+G395</f>
        <v>68.87</v>
      </c>
      <c r="H410" s="536"/>
      <c r="R410" s="581"/>
    </row>
    <row r="411" spans="1:18" ht="14.25" hidden="1" thickTop="1" thickBot="1" x14ac:dyDescent="0.25">
      <c r="A411" s="532" t="s">
        <v>216</v>
      </c>
      <c r="B411" s="538" t="s">
        <v>158</v>
      </c>
      <c r="C411" s="534"/>
      <c r="D411" s="534"/>
      <c r="E411" s="534"/>
      <c r="F411" s="534"/>
      <c r="G411" s="537">
        <f>G389</f>
        <v>267.89999999999998</v>
      </c>
      <c r="H411" s="536"/>
      <c r="P411" s="499"/>
      <c r="R411" s="122"/>
    </row>
    <row r="412" spans="1:18" ht="13.5" hidden="1" thickBot="1" x14ac:dyDescent="0.25">
      <c r="A412" s="509"/>
      <c r="B412" s="510"/>
      <c r="C412" s="500"/>
      <c r="D412" s="510"/>
      <c r="E412" s="510"/>
      <c r="F412" s="510"/>
      <c r="G412" s="510"/>
      <c r="H412" s="511"/>
    </row>
    <row r="413" spans="1:18" ht="13.5" hidden="1" thickBot="1" x14ac:dyDescent="0.25">
      <c r="A413" s="539" t="s">
        <v>5</v>
      </c>
      <c r="B413" s="540" t="s">
        <v>218</v>
      </c>
      <c r="C413" s="541"/>
      <c r="D413" s="510"/>
      <c r="E413" s="541" t="s">
        <v>193</v>
      </c>
      <c r="F413" s="541" t="s">
        <v>193</v>
      </c>
      <c r="G413" s="541"/>
      <c r="H413" s="511"/>
    </row>
    <row r="414" spans="1:18" ht="13.5" hidden="1" thickBot="1" x14ac:dyDescent="0.25">
      <c r="A414" s="539"/>
      <c r="B414" s="540"/>
      <c r="C414" s="541"/>
      <c r="D414" s="510"/>
      <c r="E414" s="541"/>
      <c r="F414" s="541" t="s">
        <v>193</v>
      </c>
      <c r="G414" s="541"/>
      <c r="H414" s="511"/>
    </row>
    <row r="415" spans="1:18" ht="13.5" hidden="1" thickBot="1" x14ac:dyDescent="0.25">
      <c r="A415" s="539"/>
      <c r="B415" s="540"/>
      <c r="C415" s="541"/>
      <c r="D415" s="510"/>
      <c r="E415" s="541"/>
      <c r="F415" s="541" t="s">
        <v>193</v>
      </c>
      <c r="G415" s="541"/>
      <c r="H415" s="511"/>
    </row>
    <row r="416" spans="1:18" ht="13.5" hidden="1" thickBot="1" x14ac:dyDescent="0.25">
      <c r="A416" s="539"/>
      <c r="B416" s="540"/>
      <c r="C416" s="540"/>
      <c r="D416" s="510"/>
      <c r="E416" s="540"/>
      <c r="F416" s="540"/>
      <c r="G416" s="540"/>
      <c r="H416" s="511"/>
    </row>
    <row r="417" spans="1:18" ht="13.5" hidden="1" thickBot="1" x14ac:dyDescent="0.25">
      <c r="A417" s="542" t="s">
        <v>14</v>
      </c>
      <c r="B417" s="543" t="s">
        <v>219</v>
      </c>
      <c r="C417" s="543"/>
      <c r="D417" s="510"/>
      <c r="E417" s="543" t="s">
        <v>195</v>
      </c>
      <c r="F417" s="543" t="s">
        <v>195</v>
      </c>
      <c r="G417" s="543"/>
      <c r="H417" s="511"/>
    </row>
    <row r="418" spans="1:18" ht="13.5" hidden="1" thickBot="1" x14ac:dyDescent="0.25">
      <c r="A418" s="544" t="s">
        <v>217</v>
      </c>
      <c r="B418" s="545" t="s">
        <v>12</v>
      </c>
      <c r="C418" s="545"/>
      <c r="D418" s="546"/>
      <c r="E418" s="545" t="s">
        <v>197</v>
      </c>
      <c r="F418" s="545" t="s">
        <v>197</v>
      </c>
      <c r="G418" s="545"/>
      <c r="H418" s="547"/>
    </row>
    <row r="419" spans="1:18" ht="13.5" hidden="1" thickBot="1" x14ac:dyDescent="0.25">
      <c r="A419" s="584" t="s">
        <v>64</v>
      </c>
      <c r="B419" s="585"/>
      <c r="C419" s="585"/>
      <c r="D419" s="585"/>
      <c r="E419" s="585"/>
      <c r="F419" s="585"/>
      <c r="G419" s="585"/>
      <c r="H419" s="586"/>
    </row>
    <row r="420" spans="1:18" ht="13.5" hidden="1" thickBot="1" x14ac:dyDescent="0.25">
      <c r="A420" s="587" t="s">
        <v>0</v>
      </c>
      <c r="B420" s="59"/>
      <c r="C420" s="59"/>
      <c r="D420" s="59"/>
      <c r="E420" s="59"/>
      <c r="F420" s="59"/>
      <c r="G420" s="59"/>
      <c r="H420" s="588"/>
    </row>
    <row r="421" spans="1:18" ht="13.5" hidden="1" thickBot="1" x14ac:dyDescent="0.25">
      <c r="A421" s="587"/>
      <c r="B421" s="59"/>
      <c r="C421" s="59"/>
      <c r="D421" s="59"/>
      <c r="E421" s="59"/>
      <c r="F421" s="59"/>
      <c r="G421" s="59"/>
      <c r="H421" s="588"/>
    </row>
    <row r="422" spans="1:18" ht="13.5" hidden="1" thickBot="1" x14ac:dyDescent="0.25">
      <c r="A422" s="589" t="s">
        <v>60</v>
      </c>
      <c r="B422" s="59"/>
      <c r="C422" s="59"/>
      <c r="D422" s="59"/>
      <c r="E422" s="59"/>
      <c r="F422" s="59"/>
      <c r="G422" s="59"/>
      <c r="H422" s="588"/>
    </row>
    <row r="423" spans="1:18" ht="13.5" hidden="1" thickBot="1" x14ac:dyDescent="0.25">
      <c r="A423" s="590" t="s">
        <v>236</v>
      </c>
      <c r="B423" s="59"/>
      <c r="C423" s="59"/>
      <c r="D423" s="59"/>
      <c r="E423" s="59"/>
      <c r="F423" s="59"/>
      <c r="G423" s="59"/>
      <c r="H423" s="588"/>
    </row>
    <row r="424" spans="1:18" ht="13.5" hidden="1" thickBot="1" x14ac:dyDescent="0.25">
      <c r="A424" s="590"/>
      <c r="B424" s="59"/>
      <c r="C424" s="59"/>
      <c r="D424" s="59"/>
      <c r="E424" s="59"/>
      <c r="F424" s="59"/>
      <c r="G424" s="59"/>
      <c r="H424" s="588"/>
      <c r="L424" s="257" t="s">
        <v>146</v>
      </c>
      <c r="M424" s="75" t="s">
        <v>6</v>
      </c>
      <c r="N424" s="75"/>
      <c r="O424" s="257" t="s">
        <v>146</v>
      </c>
      <c r="P424" s="413" t="s">
        <v>6</v>
      </c>
      <c r="R424" s="85" t="s">
        <v>147</v>
      </c>
    </row>
    <row r="425" spans="1:18" ht="13.5" hidden="1" thickBot="1" x14ac:dyDescent="0.25">
      <c r="A425" s="1029"/>
      <c r="B425" s="1030"/>
      <c r="C425" s="549" t="s">
        <v>6</v>
      </c>
      <c r="D425" s="1031" t="s">
        <v>47</v>
      </c>
      <c r="E425" s="1032"/>
      <c r="F425" s="1033"/>
      <c r="G425" s="1031" t="s">
        <v>13</v>
      </c>
      <c r="H425" s="1034"/>
      <c r="I425" s="548" t="s">
        <v>6</v>
      </c>
      <c r="J425" s="549" t="s">
        <v>47</v>
      </c>
      <c r="K425" s="549" t="s">
        <v>13</v>
      </c>
      <c r="L425" s="257" t="s">
        <v>130</v>
      </c>
      <c r="M425" s="260" t="s">
        <v>148</v>
      </c>
      <c r="N425" s="75"/>
      <c r="O425" s="257" t="s">
        <v>130</v>
      </c>
      <c r="P425" s="414" t="s">
        <v>130</v>
      </c>
      <c r="R425" s="80" t="s">
        <v>130</v>
      </c>
    </row>
    <row r="426" spans="1:18" ht="13.5" hidden="1" thickBot="1" x14ac:dyDescent="0.25">
      <c r="A426" s="589" t="s">
        <v>149</v>
      </c>
      <c r="B426" s="59"/>
      <c r="C426" s="591"/>
      <c r="D426" s="591"/>
      <c r="E426" s="591"/>
      <c r="F426" s="591"/>
      <c r="G426" s="591"/>
      <c r="H426" s="592"/>
      <c r="J426" s="93"/>
      <c r="L426" s="93">
        <v>18</v>
      </c>
      <c r="M426" s="93">
        <v>11</v>
      </c>
      <c r="O426" s="93">
        <v>112</v>
      </c>
      <c r="P426" s="93">
        <v>78</v>
      </c>
      <c r="R426" s="93">
        <v>258</v>
      </c>
    </row>
    <row r="427" spans="1:18" ht="13.5" hidden="1" thickBot="1" x14ac:dyDescent="0.25">
      <c r="A427" s="587" t="s">
        <v>150</v>
      </c>
      <c r="B427" s="59" t="s">
        <v>135</v>
      </c>
      <c r="C427" s="593" t="e">
        <f>#REF!</f>
        <v>#REF!</v>
      </c>
      <c r="D427" s="593"/>
      <c r="E427" s="593" t="e">
        <f>C427</f>
        <v>#REF!</v>
      </c>
      <c r="F427" s="593"/>
      <c r="G427" s="593" t="e">
        <f>C427</f>
        <v>#REF!</v>
      </c>
      <c r="H427" s="594"/>
      <c r="I427" s="30">
        <v>4.7797000000000001</v>
      </c>
      <c r="J427" s="30">
        <f>I427</f>
        <v>4.7797000000000001</v>
      </c>
      <c r="K427" s="30">
        <f>J427</f>
        <v>4.7797000000000001</v>
      </c>
      <c r="L427" s="80">
        <f>L426*(I427)</f>
        <v>86.034599999999998</v>
      </c>
      <c r="M427" s="80">
        <f>M426*(J427)</f>
        <v>52.576700000000002</v>
      </c>
      <c r="O427" s="80">
        <f>O426*(I427)</f>
        <v>535.32640000000004</v>
      </c>
      <c r="P427" s="80">
        <f>P426*(I427+I429+I430)</f>
        <v>372.81659999999999</v>
      </c>
      <c r="R427" s="80">
        <f>R426*(J427+J429+J430)</f>
        <v>1233.1626000000001</v>
      </c>
    </row>
    <row r="428" spans="1:18" ht="13.5" hidden="1" thickBot="1" x14ac:dyDescent="0.25">
      <c r="A428" s="587"/>
      <c r="B428" s="59"/>
      <c r="C428" s="595"/>
      <c r="D428" s="595"/>
      <c r="E428" s="595"/>
      <c r="F428" s="595"/>
      <c r="G428" s="595"/>
      <c r="H428" s="596"/>
      <c r="M428" s="80"/>
      <c r="O428" s="80"/>
      <c r="P428" s="80">
        <f>P426*I428</f>
        <v>0</v>
      </c>
      <c r="R428" s="80">
        <f>R426*J428</f>
        <v>0</v>
      </c>
    </row>
    <row r="429" spans="1:18" ht="13.5" hidden="1" thickBot="1" x14ac:dyDescent="0.25">
      <c r="A429" s="589" t="s">
        <v>156</v>
      </c>
      <c r="B429" s="59"/>
      <c r="C429" s="593"/>
      <c r="D429" s="593"/>
      <c r="E429" s="593"/>
      <c r="F429" s="593"/>
      <c r="G429" s="593"/>
      <c r="H429" s="588"/>
      <c r="M429" s="80"/>
      <c r="O429" s="80"/>
      <c r="P429" s="80"/>
      <c r="R429" s="80"/>
    </row>
    <row r="430" spans="1:18" ht="13.5" hidden="1" thickBot="1" x14ac:dyDescent="0.25">
      <c r="A430" s="587" t="s">
        <v>157</v>
      </c>
      <c r="B430" s="59" t="s">
        <v>158</v>
      </c>
      <c r="C430" s="593"/>
      <c r="D430" s="593"/>
      <c r="E430" s="593"/>
      <c r="F430" s="593"/>
      <c r="G430" s="593" t="e">
        <f>#REF!</f>
        <v>#REF!</v>
      </c>
      <c r="H430" s="594"/>
      <c r="K430" s="64">
        <v>249.3476</v>
      </c>
      <c r="M430" s="80"/>
      <c r="O430" s="80"/>
      <c r="P430" s="80"/>
      <c r="R430" s="80"/>
    </row>
    <row r="431" spans="1:18" ht="13.5" hidden="1" thickBot="1" x14ac:dyDescent="0.25">
      <c r="A431" s="587" t="s">
        <v>159</v>
      </c>
      <c r="B431" s="59" t="s">
        <v>135</v>
      </c>
      <c r="C431" s="593" t="e">
        <f>#REF!</f>
        <v>#REF!</v>
      </c>
      <c r="D431" s="593"/>
      <c r="E431" s="593" t="e">
        <f>#REF!</f>
        <v>#REF!</v>
      </c>
      <c r="F431" s="593"/>
      <c r="G431" s="593"/>
      <c r="H431" s="594"/>
      <c r="I431" s="30">
        <v>0.74129999999999996</v>
      </c>
      <c r="J431" s="64">
        <v>0.74129999999999996</v>
      </c>
      <c r="L431" s="80">
        <f>L426*I431</f>
        <v>13.343399999999999</v>
      </c>
      <c r="M431" s="80">
        <f>M426*I431</f>
        <v>8.1542999999999992</v>
      </c>
      <c r="O431" s="80">
        <f>O426*I431</f>
        <v>83.025599999999997</v>
      </c>
      <c r="P431" s="102">
        <f>P426*I431</f>
        <v>57.821399999999997</v>
      </c>
      <c r="R431" s="102">
        <f>R426*J431</f>
        <v>191.25539999999998</v>
      </c>
    </row>
    <row r="432" spans="1:18" ht="13.5" hidden="1" thickBot="1" x14ac:dyDescent="0.25">
      <c r="A432" s="589" t="s">
        <v>160</v>
      </c>
      <c r="B432" s="59" t="s">
        <v>135</v>
      </c>
      <c r="C432" s="593" t="e">
        <f>#REF!</f>
        <v>#REF!</v>
      </c>
      <c r="D432" s="593"/>
      <c r="E432" s="593" t="e">
        <f>C432</f>
        <v>#REF!</v>
      </c>
      <c r="F432" s="593"/>
      <c r="G432" s="593" t="e">
        <f>C432</f>
        <v>#REF!</v>
      </c>
      <c r="H432" s="594"/>
      <c r="I432" s="30">
        <v>0.71160000000000001</v>
      </c>
      <c r="J432" s="30">
        <v>0.71160000000000001</v>
      </c>
      <c r="K432" s="30">
        <v>0.71160000000000001</v>
      </c>
      <c r="L432" s="80">
        <f>L426*I432</f>
        <v>12.8088</v>
      </c>
      <c r="M432" s="80">
        <f>M426*I432</f>
        <v>7.8276000000000003</v>
      </c>
      <c r="O432" s="80">
        <f>O426*I432</f>
        <v>79.699200000000005</v>
      </c>
      <c r="P432" s="102">
        <f>P426*I432</f>
        <v>55.504800000000003</v>
      </c>
      <c r="R432" s="102">
        <f>R426*J432</f>
        <v>183.59280000000001</v>
      </c>
    </row>
    <row r="433" spans="1:18" ht="13.5" hidden="1" thickBot="1" x14ac:dyDescent="0.25">
      <c r="A433" s="587"/>
      <c r="B433" s="59"/>
      <c r="C433" s="593"/>
      <c r="D433" s="593"/>
      <c r="E433" s="593"/>
      <c r="F433" s="593"/>
      <c r="G433" s="593"/>
      <c r="H433" s="594"/>
      <c r="M433" s="80"/>
      <c r="O433" s="80"/>
      <c r="P433" s="80"/>
      <c r="R433" s="80"/>
    </row>
    <row r="434" spans="1:18" ht="13.5" hidden="1" thickBot="1" x14ac:dyDescent="0.25">
      <c r="A434" s="589" t="s">
        <v>161</v>
      </c>
      <c r="B434" s="59"/>
      <c r="C434" s="593"/>
      <c r="D434" s="593"/>
      <c r="E434" s="593"/>
      <c r="F434" s="593"/>
      <c r="G434" s="593"/>
      <c r="H434" s="594"/>
      <c r="M434" s="80"/>
      <c r="O434" s="80"/>
      <c r="P434" s="80"/>
      <c r="R434" s="80"/>
    </row>
    <row r="435" spans="1:18" ht="13.5" hidden="1" thickBot="1" x14ac:dyDescent="0.25">
      <c r="A435" s="587" t="s">
        <v>162</v>
      </c>
      <c r="B435" s="59" t="s">
        <v>158</v>
      </c>
      <c r="C435" s="593"/>
      <c r="D435" s="593"/>
      <c r="E435" s="593"/>
      <c r="F435" s="593"/>
      <c r="G435" s="597">
        <v>267.89999999999998</v>
      </c>
      <c r="H435" s="594"/>
      <c r="K435" s="101">
        <v>267.89999999999998</v>
      </c>
      <c r="M435" s="80"/>
      <c r="O435" s="80"/>
      <c r="P435" s="80">
        <f>P426*I435</f>
        <v>0</v>
      </c>
      <c r="R435" s="80">
        <f>R426*J435</f>
        <v>0</v>
      </c>
    </row>
    <row r="436" spans="1:18" ht="13.5" hidden="1" thickBot="1" x14ac:dyDescent="0.25">
      <c r="A436" s="587" t="s">
        <v>163</v>
      </c>
      <c r="B436" s="59" t="s">
        <v>135</v>
      </c>
      <c r="C436" s="593">
        <v>0.84489999999999998</v>
      </c>
      <c r="D436" s="598"/>
      <c r="E436" s="599">
        <v>0.92589999999999995</v>
      </c>
      <c r="F436" s="593"/>
      <c r="G436" s="593"/>
      <c r="H436" s="594"/>
      <c r="I436" s="30">
        <v>0.84489999999999998</v>
      </c>
      <c r="J436" s="30">
        <v>0.92589999999999995</v>
      </c>
      <c r="L436" s="80">
        <f>L426*I436</f>
        <v>15.2082</v>
      </c>
      <c r="M436" s="80">
        <f>M426*I436</f>
        <v>9.2939000000000007</v>
      </c>
      <c r="O436" s="102">
        <f>O426*I436</f>
        <v>94.628799999999998</v>
      </c>
      <c r="P436" s="80">
        <f>P426*I436</f>
        <v>65.902199999999993</v>
      </c>
      <c r="R436" s="80">
        <f>R426*J436</f>
        <v>238.88219999999998</v>
      </c>
    </row>
    <row r="437" spans="1:18" ht="13.5" hidden="1" thickBot="1" x14ac:dyDescent="0.25">
      <c r="A437" s="589" t="s">
        <v>164</v>
      </c>
      <c r="B437" s="59"/>
      <c r="C437" s="593"/>
      <c r="D437" s="598"/>
      <c r="E437" s="593"/>
      <c r="F437" s="593"/>
      <c r="G437" s="593"/>
      <c r="H437" s="594"/>
      <c r="M437" s="80"/>
      <c r="O437" s="102"/>
      <c r="P437" s="80"/>
      <c r="R437" s="80"/>
    </row>
    <row r="438" spans="1:18" ht="13.5" hidden="1" thickBot="1" x14ac:dyDescent="0.25">
      <c r="A438" s="587" t="s">
        <v>165</v>
      </c>
      <c r="B438" s="59" t="s">
        <v>166</v>
      </c>
      <c r="C438" s="593"/>
      <c r="D438" s="598"/>
      <c r="E438" s="600">
        <v>40.15</v>
      </c>
      <c r="F438" s="597"/>
      <c r="G438" s="600">
        <v>40.15</v>
      </c>
      <c r="H438" s="594"/>
      <c r="J438" s="30">
        <v>40.15</v>
      </c>
      <c r="K438" s="30">
        <v>40.15</v>
      </c>
      <c r="M438" s="80"/>
      <c r="O438" s="102"/>
      <c r="P438" s="80"/>
      <c r="R438" s="80">
        <f>J438</f>
        <v>40.15</v>
      </c>
    </row>
    <row r="439" spans="1:18" ht="13.5" hidden="1" thickBot="1" x14ac:dyDescent="0.25">
      <c r="A439" s="587" t="s">
        <v>167</v>
      </c>
      <c r="B439" s="59" t="s">
        <v>135</v>
      </c>
      <c r="C439" s="593">
        <v>0.7732</v>
      </c>
      <c r="D439" s="598"/>
      <c r="E439" s="597"/>
      <c r="F439" s="597"/>
      <c r="G439" s="597"/>
      <c r="H439" s="594"/>
      <c r="I439" s="30">
        <v>0.7732</v>
      </c>
      <c r="L439" s="80">
        <f>L426*I439</f>
        <v>13.9176</v>
      </c>
      <c r="M439" s="80">
        <f>M426*I439</f>
        <v>8.5052000000000003</v>
      </c>
      <c r="O439" s="102">
        <f>O426*I439</f>
        <v>86.598399999999998</v>
      </c>
      <c r="P439" s="102">
        <f>P426*I439</f>
        <v>60.309600000000003</v>
      </c>
      <c r="R439" s="80"/>
    </row>
    <row r="440" spans="1:18" ht="13.5" hidden="1" thickBot="1" x14ac:dyDescent="0.25">
      <c r="A440" s="589" t="s">
        <v>168</v>
      </c>
      <c r="B440" s="59"/>
      <c r="C440" s="59"/>
      <c r="D440" s="598"/>
      <c r="E440" s="597"/>
      <c r="F440" s="597"/>
      <c r="G440" s="597"/>
      <c r="H440" s="594"/>
      <c r="M440" s="80"/>
      <c r="O440" s="102"/>
      <c r="P440" s="102"/>
      <c r="R440" s="102">
        <f>R426*J440</f>
        <v>0</v>
      </c>
    </row>
    <row r="441" spans="1:18" ht="13.5" hidden="1" thickBot="1" x14ac:dyDescent="0.25">
      <c r="A441" s="587" t="s">
        <v>221</v>
      </c>
      <c r="B441" s="59" t="s">
        <v>170</v>
      </c>
      <c r="C441" s="593">
        <v>5</v>
      </c>
      <c r="D441" s="598"/>
      <c r="E441" s="600">
        <v>28.72</v>
      </c>
      <c r="F441" s="597"/>
      <c r="G441" s="600">
        <v>28.72</v>
      </c>
      <c r="H441" s="594"/>
      <c r="I441" s="101">
        <v>5</v>
      </c>
      <c r="J441" s="30">
        <v>28.72</v>
      </c>
      <c r="K441" s="30">
        <v>28.72</v>
      </c>
      <c r="L441" s="80">
        <v>5</v>
      </c>
      <c r="M441" s="80">
        <v>5</v>
      </c>
      <c r="O441" s="102">
        <v>5</v>
      </c>
      <c r="P441" s="80">
        <v>5</v>
      </c>
      <c r="R441" s="102">
        <f>J441</f>
        <v>28.72</v>
      </c>
    </row>
    <row r="442" spans="1:18" ht="13.5" hidden="1" thickBot="1" x14ac:dyDescent="0.25">
      <c r="A442" s="587" t="s">
        <v>171</v>
      </c>
      <c r="B442" s="59" t="s">
        <v>135</v>
      </c>
      <c r="C442" s="593">
        <v>0.45689999999999997</v>
      </c>
      <c r="D442" s="593"/>
      <c r="E442" s="593"/>
      <c r="F442" s="593"/>
      <c r="G442" s="593"/>
      <c r="H442" s="594"/>
      <c r="I442" s="30">
        <v>0.45689999999999997</v>
      </c>
      <c r="L442" s="80">
        <f>L426*I442</f>
        <v>8.2241999999999997</v>
      </c>
      <c r="M442" s="80">
        <f>M426*I442</f>
        <v>5.0259</v>
      </c>
      <c r="O442" s="102">
        <f>O426*I442</f>
        <v>51.172799999999995</v>
      </c>
      <c r="P442" s="80">
        <f>P426*I442</f>
        <v>35.638199999999998</v>
      </c>
      <c r="R442" s="103">
        <f>G442</f>
        <v>0</v>
      </c>
    </row>
    <row r="443" spans="1:18" ht="13.5" hidden="1" thickBot="1" x14ac:dyDescent="0.25">
      <c r="A443" s="589" t="s">
        <v>172</v>
      </c>
      <c r="B443" s="59" t="s">
        <v>135</v>
      </c>
      <c r="C443" s="593" t="e">
        <f>#REF!</f>
        <v>#REF!</v>
      </c>
      <c r="D443" s="598"/>
      <c r="E443" s="599" t="e">
        <f>C443</f>
        <v>#REF!</v>
      </c>
      <c r="F443" s="599"/>
      <c r="G443" s="599" t="e">
        <f>C443</f>
        <v>#REF!</v>
      </c>
      <c r="H443" s="594"/>
      <c r="I443" s="64">
        <v>9.3100000000000002E-2</v>
      </c>
      <c r="J443" s="64">
        <f t="shared" ref="J443:J448" si="9">I443</f>
        <v>9.3100000000000002E-2</v>
      </c>
      <c r="K443" s="64">
        <f t="shared" ref="K443:K448" si="10">I443</f>
        <v>9.3100000000000002E-2</v>
      </c>
      <c r="L443" s="80">
        <f>-(L427+L431+L432+L436+L439+L441+L442)*25%</f>
        <v>-38.6342</v>
      </c>
      <c r="M443" s="80">
        <f>-(M427+M431+M432+M436+M439+M441+M442)*5%</f>
        <v>-4.8191800000000002</v>
      </c>
      <c r="O443" s="102">
        <f>O426*I443</f>
        <v>10.427200000000001</v>
      </c>
      <c r="P443" s="80">
        <f>P426*I443</f>
        <v>7.2618</v>
      </c>
      <c r="R443" s="102">
        <f>R426*J443</f>
        <v>24.0198</v>
      </c>
    </row>
    <row r="444" spans="1:18" ht="13.5" hidden="1" thickBot="1" x14ac:dyDescent="0.25">
      <c r="A444" s="589" t="s">
        <v>173</v>
      </c>
      <c r="B444" s="59"/>
      <c r="C444" s="593" t="e">
        <f>#REF!</f>
        <v>#REF!</v>
      </c>
      <c r="D444" s="598"/>
      <c r="E444" s="599" t="e">
        <f>C444</f>
        <v>#REF!</v>
      </c>
      <c r="F444" s="599"/>
      <c r="G444" s="599" t="e">
        <f>C444</f>
        <v>#REF!</v>
      </c>
      <c r="H444" s="594"/>
      <c r="I444" s="30">
        <v>1.2999999999999999E-3</v>
      </c>
      <c r="J444" s="64">
        <f t="shared" si="9"/>
        <v>1.2999999999999999E-3</v>
      </c>
      <c r="K444" s="64">
        <f t="shared" si="10"/>
        <v>1.2999999999999999E-3</v>
      </c>
      <c r="L444" s="106">
        <f>L422*I444</f>
        <v>0</v>
      </c>
      <c r="M444" s="80">
        <f>M426*I444</f>
        <v>1.43E-2</v>
      </c>
      <c r="O444" s="80">
        <f>-(O427+O431+O432+O436+O439+O441+O442+O443)*5%</f>
        <v>-47.29392</v>
      </c>
      <c r="P444" s="80">
        <f>P426*I444</f>
        <v>0.10139999999999999</v>
      </c>
      <c r="R444" s="107">
        <f>R426*J444</f>
        <v>0.33539999999999998</v>
      </c>
    </row>
    <row r="445" spans="1:18" ht="13.5" hidden="1" thickBot="1" x14ac:dyDescent="0.25">
      <c r="A445" s="589" t="s">
        <v>174</v>
      </c>
      <c r="B445" s="59"/>
      <c r="C445" s="593"/>
      <c r="D445" s="593"/>
      <c r="E445" s="593"/>
      <c r="F445" s="593"/>
      <c r="G445" s="593"/>
      <c r="H445" s="594"/>
      <c r="I445" s="30">
        <v>0.40039999999999998</v>
      </c>
      <c r="J445" s="64">
        <f t="shared" si="9"/>
        <v>0.40039999999999998</v>
      </c>
      <c r="K445" s="64">
        <f t="shared" si="10"/>
        <v>0.40039999999999998</v>
      </c>
      <c r="L445" s="80">
        <f>L426*I445</f>
        <v>7.2071999999999994</v>
      </c>
      <c r="M445" s="80">
        <f>M426*J445</f>
        <v>4.4043999999999999</v>
      </c>
      <c r="O445" s="80">
        <f>O426*I445</f>
        <v>44.844799999999999</v>
      </c>
      <c r="P445" s="80">
        <f>P426*I445</f>
        <v>31.231199999999998</v>
      </c>
      <c r="R445" s="107">
        <f>R426*J445</f>
        <v>103.30319999999999</v>
      </c>
    </row>
    <row r="446" spans="1:18" ht="13.5" hidden="1" thickBot="1" x14ac:dyDescent="0.25">
      <c r="A446" s="587" t="s">
        <v>175</v>
      </c>
      <c r="B446" s="59" t="s">
        <v>135</v>
      </c>
      <c r="C446" s="593">
        <f>0.1163</f>
        <v>0.1163</v>
      </c>
      <c r="D446" s="593"/>
      <c r="E446" s="593">
        <f>C446</f>
        <v>0.1163</v>
      </c>
      <c r="F446" s="593"/>
      <c r="G446" s="593">
        <f>C446</f>
        <v>0.1163</v>
      </c>
      <c r="H446" s="601"/>
      <c r="I446" s="30">
        <v>0.1163</v>
      </c>
      <c r="J446" s="64">
        <f t="shared" si="9"/>
        <v>0.1163</v>
      </c>
      <c r="K446" s="64">
        <f t="shared" si="10"/>
        <v>0.1163</v>
      </c>
      <c r="L446" s="80">
        <f>L426*I446</f>
        <v>2.0933999999999999</v>
      </c>
      <c r="M446" s="80">
        <f>M426*I446</f>
        <v>1.2793000000000001</v>
      </c>
      <c r="O446" s="80">
        <f>O426*I446</f>
        <v>13.025600000000001</v>
      </c>
      <c r="P446" s="80">
        <f>P426*I446</f>
        <v>9.0714000000000006</v>
      </c>
      <c r="R446" s="80">
        <f>R426*J446</f>
        <v>30.005400000000002</v>
      </c>
    </row>
    <row r="447" spans="1:18" ht="13.5" hidden="1" thickBot="1" x14ac:dyDescent="0.25">
      <c r="A447" s="587" t="s">
        <v>176</v>
      </c>
      <c r="B447" s="59" t="s">
        <v>135</v>
      </c>
      <c r="C447" s="593">
        <v>2.5000000000000001E-3</v>
      </c>
      <c r="D447" s="593"/>
      <c r="E447" s="593">
        <v>2.5000000000000001E-3</v>
      </c>
      <c r="F447" s="593"/>
      <c r="G447" s="599">
        <f>C447</f>
        <v>2.5000000000000001E-3</v>
      </c>
      <c r="H447" s="594"/>
      <c r="I447" s="30">
        <v>2.5000000000000001E-3</v>
      </c>
      <c r="J447" s="64">
        <f t="shared" si="9"/>
        <v>2.5000000000000001E-3</v>
      </c>
      <c r="K447" s="64">
        <f t="shared" si="10"/>
        <v>2.5000000000000001E-3</v>
      </c>
      <c r="L447" s="80">
        <f>$L$141*I447</f>
        <v>1.7500000000000002E-2</v>
      </c>
      <c r="M447" s="80">
        <f>M426*I447</f>
        <v>2.75E-2</v>
      </c>
      <c r="O447" s="80">
        <f>O426*I447</f>
        <v>0.28000000000000003</v>
      </c>
      <c r="P447" s="80">
        <f>P426*I447</f>
        <v>0.19500000000000001</v>
      </c>
      <c r="R447" s="80">
        <f>R426*J447</f>
        <v>0.64500000000000002</v>
      </c>
    </row>
    <row r="448" spans="1:18" ht="13.5" hidden="1" thickBot="1" x14ac:dyDescent="0.25">
      <c r="A448" s="587" t="s">
        <v>200</v>
      </c>
      <c r="B448" s="59" t="s">
        <v>135</v>
      </c>
      <c r="C448" s="593">
        <f>0.1938</f>
        <v>0.1938</v>
      </c>
      <c r="D448" s="593"/>
      <c r="E448" s="593">
        <f>C448</f>
        <v>0.1938</v>
      </c>
      <c r="F448" s="593"/>
      <c r="G448" s="599">
        <f>C448</f>
        <v>0.1938</v>
      </c>
      <c r="H448" s="601"/>
      <c r="I448" s="30">
        <v>0.1938</v>
      </c>
      <c r="J448" s="64">
        <f t="shared" si="9"/>
        <v>0.1938</v>
      </c>
      <c r="K448" s="64">
        <f t="shared" si="10"/>
        <v>0.1938</v>
      </c>
      <c r="L448" s="80">
        <f>$L$141*I448</f>
        <v>1.3566</v>
      </c>
      <c r="M448" s="80">
        <f>M426*I448</f>
        <v>2.1318000000000001</v>
      </c>
      <c r="O448" s="80">
        <f>O426*I448</f>
        <v>21.7056</v>
      </c>
      <c r="P448" s="80">
        <f>P426*I448</f>
        <v>15.116400000000001</v>
      </c>
      <c r="R448" s="80">
        <f>R426*J448</f>
        <v>50.000399999999999</v>
      </c>
    </row>
    <row r="449" spans="1:18" ht="13.5" hidden="1" thickBot="1" x14ac:dyDescent="0.25">
      <c r="A449" s="602" t="s">
        <v>182</v>
      </c>
      <c r="B449" s="59"/>
      <c r="C449" s="593"/>
      <c r="D449" s="593"/>
      <c r="E449" s="593"/>
      <c r="F449" s="593"/>
      <c r="G449" s="599"/>
      <c r="H449" s="601"/>
      <c r="I449" s="626"/>
      <c r="J449" s="64"/>
      <c r="K449" s="64"/>
      <c r="L449" s="80">
        <f>L426*I449</f>
        <v>0</v>
      </c>
      <c r="M449" s="80">
        <f>M426*I449</f>
        <v>0</v>
      </c>
      <c r="O449" s="80">
        <f>O426*I449</f>
        <v>0</v>
      </c>
      <c r="P449" s="80">
        <f>P426*I449</f>
        <v>0</v>
      </c>
      <c r="R449" s="80">
        <f>R426*J449</f>
        <v>0</v>
      </c>
    </row>
    <row r="450" spans="1:18" ht="13.5" hidden="1" thickBot="1" x14ac:dyDescent="0.25">
      <c r="A450" s="587" t="s">
        <v>211</v>
      </c>
      <c r="B450" s="59" t="s">
        <v>135</v>
      </c>
      <c r="C450" s="593" t="e">
        <f>#REF!</f>
        <v>#REF!</v>
      </c>
      <c r="D450" s="593"/>
      <c r="E450" s="593" t="e">
        <f>C450</f>
        <v>#REF!</v>
      </c>
      <c r="F450" s="593"/>
      <c r="G450" s="599" t="e">
        <f>C450</f>
        <v>#REF!</v>
      </c>
      <c r="H450" s="601"/>
      <c r="I450" s="30">
        <v>0.3034</v>
      </c>
      <c r="J450" s="64">
        <f t="shared" ref="J450:K452" si="11">I450</f>
        <v>0.3034</v>
      </c>
      <c r="K450" s="64">
        <f t="shared" si="11"/>
        <v>0.3034</v>
      </c>
      <c r="L450" s="115">
        <f>SUM(L427:L449)</f>
        <v>126.57730000000001</v>
      </c>
      <c r="M450" s="116">
        <f>SUM(M427:M449)</f>
        <v>99.421720000000008</v>
      </c>
      <c r="N450" s="30" t="s">
        <v>180</v>
      </c>
      <c r="O450" s="80">
        <f>O426*I450</f>
        <v>33.980800000000002</v>
      </c>
      <c r="P450" s="80">
        <f>P426*I450</f>
        <v>23.665199999999999</v>
      </c>
      <c r="R450" s="80">
        <f>R426*J450</f>
        <v>78.277200000000008</v>
      </c>
    </row>
    <row r="451" spans="1:18" ht="13.5" hidden="1" thickBot="1" x14ac:dyDescent="0.25">
      <c r="A451" s="587" t="s">
        <v>212</v>
      </c>
      <c r="B451" s="59" t="s">
        <v>135</v>
      </c>
      <c r="C451" s="593" t="e">
        <f>#REF!</f>
        <v>#REF!</v>
      </c>
      <c r="D451" s="593"/>
      <c r="E451" s="593" t="e">
        <f>C451</f>
        <v>#REF!</v>
      </c>
      <c r="F451" s="593"/>
      <c r="G451" s="599" t="e">
        <f>C451</f>
        <v>#REF!</v>
      </c>
      <c r="H451" s="601"/>
      <c r="I451" s="30">
        <v>2.8E-3</v>
      </c>
      <c r="J451" s="64">
        <f t="shared" si="11"/>
        <v>2.8E-3</v>
      </c>
      <c r="K451" s="64">
        <f t="shared" si="11"/>
        <v>2.8E-3</v>
      </c>
      <c r="N451" s="30" t="s">
        <v>183</v>
      </c>
      <c r="O451" s="80">
        <f>O426*I451</f>
        <v>0.31359999999999999</v>
      </c>
      <c r="P451" s="80">
        <f>P426*I451</f>
        <v>0.21840000000000001</v>
      </c>
      <c r="R451" s="80">
        <f>R426*J451</f>
        <v>0.72240000000000004</v>
      </c>
    </row>
    <row r="452" spans="1:18" ht="13.5" hidden="1" thickBot="1" x14ac:dyDescent="0.25">
      <c r="A452" s="587" t="s">
        <v>213</v>
      </c>
      <c r="B452" s="59" t="s">
        <v>135</v>
      </c>
      <c r="C452" s="593" t="e">
        <f>#REF!</f>
        <v>#REF!</v>
      </c>
      <c r="D452" s="593"/>
      <c r="E452" s="593" t="e">
        <f>C452</f>
        <v>#REF!</v>
      </c>
      <c r="F452" s="593"/>
      <c r="G452" s="599" t="e">
        <f>C452</f>
        <v>#REF!</v>
      </c>
      <c r="H452" s="601"/>
      <c r="I452" s="30">
        <v>3.9399999999999998E-2</v>
      </c>
      <c r="J452" s="64">
        <f t="shared" si="11"/>
        <v>3.9399999999999998E-2</v>
      </c>
      <c r="K452" s="64">
        <f t="shared" si="11"/>
        <v>3.9399999999999998E-2</v>
      </c>
      <c r="N452" s="30" t="s">
        <v>186</v>
      </c>
      <c r="O452" s="80">
        <f>O426*I452</f>
        <v>4.4127999999999998</v>
      </c>
      <c r="P452" s="80">
        <f>P426*I452</f>
        <v>3.0731999999999999</v>
      </c>
      <c r="R452" s="80">
        <f>R426*J452</f>
        <v>10.165199999999999</v>
      </c>
    </row>
    <row r="453" spans="1:18" ht="13.5" hidden="1" thickBot="1" x14ac:dyDescent="0.25">
      <c r="A453" s="587" t="s">
        <v>214</v>
      </c>
      <c r="B453" s="59" t="s">
        <v>215</v>
      </c>
      <c r="C453" s="603">
        <v>0.12</v>
      </c>
      <c r="D453" s="593"/>
      <c r="E453" s="603">
        <v>0.12</v>
      </c>
      <c r="F453" s="593"/>
      <c r="G453" s="603">
        <v>0.12</v>
      </c>
      <c r="H453" s="601"/>
      <c r="I453" s="64"/>
      <c r="J453" s="64"/>
      <c r="K453" s="64"/>
      <c r="L453" s="107" t="s">
        <v>182</v>
      </c>
      <c r="O453" s="80"/>
      <c r="P453" s="80"/>
      <c r="R453" s="80">
        <f>R426*J453</f>
        <v>0</v>
      </c>
    </row>
    <row r="454" spans="1:18" ht="13.5" hidden="1" thickBot="1" x14ac:dyDescent="0.25">
      <c r="A454" s="604" t="s">
        <v>177</v>
      </c>
      <c r="B454" s="605" t="s">
        <v>135</v>
      </c>
      <c r="C454" s="606">
        <v>0.40039999999999998</v>
      </c>
      <c r="D454" s="606"/>
      <c r="E454" s="606">
        <v>0.40039999999999998</v>
      </c>
      <c r="F454" s="606"/>
      <c r="G454" s="607">
        <f>C454</f>
        <v>0.40039999999999998</v>
      </c>
      <c r="H454" s="608"/>
      <c r="I454" s="64"/>
      <c r="J454" s="64"/>
      <c r="K454" s="64"/>
      <c r="N454" s="30" t="s">
        <v>191</v>
      </c>
      <c r="O454" s="121"/>
      <c r="P454" s="121">
        <f>(SUM(P428,P436:P443))*12%</f>
        <v>20.893415999999995</v>
      </c>
      <c r="R454" s="121">
        <f>(SUM(R428,R436:R443))*12%</f>
        <v>39.812639999999995</v>
      </c>
    </row>
    <row r="455" spans="1:18" ht="13.5" hidden="1" thickBot="1" x14ac:dyDescent="0.25">
      <c r="A455" s="609" t="s">
        <v>178</v>
      </c>
      <c r="B455" s="610"/>
      <c r="C455" s="611">
        <f>4.7797+0.7413+0.7116+0.8449+0.7732+0.4569+0.0931+0.0013+0.1163+0.0025+0.1938+0.3034+0.0028+0.0394+0.4004</f>
        <v>9.4605999999999995</v>
      </c>
      <c r="D455" s="612"/>
      <c r="E455" s="611">
        <f>4.7797+0.7413+0.7116+0.9259+0.0931+0.0013+0.1163+0.0025+0.1938+0.3034+0.0028+0.0394+0.4004</f>
        <v>8.3114999999999988</v>
      </c>
      <c r="F455" s="612"/>
      <c r="G455" s="611" t="e">
        <f>G427+G432+G443+G444+G446+G447+G448+G450+G451+G452+G454</f>
        <v>#REF!</v>
      </c>
      <c r="H455" s="613"/>
      <c r="I455" s="64"/>
      <c r="J455" s="64"/>
      <c r="K455" s="64"/>
      <c r="O455" s="116">
        <f>SUM(O450:O454)</f>
        <v>38.7072</v>
      </c>
      <c r="P455" s="80">
        <f>P426*I455</f>
        <v>0</v>
      </c>
      <c r="R455" s="80">
        <f>R426*J455</f>
        <v>0</v>
      </c>
    </row>
    <row r="456" spans="1:18" ht="13.5" hidden="1" thickBot="1" x14ac:dyDescent="0.25">
      <c r="A456" s="609" t="s">
        <v>179</v>
      </c>
      <c r="B456" s="610" t="s">
        <v>166</v>
      </c>
      <c r="C456" s="614">
        <f>C441</f>
        <v>5</v>
      </c>
      <c r="D456" s="614"/>
      <c r="E456" s="614">
        <f>E438+E441</f>
        <v>68.87</v>
      </c>
      <c r="F456" s="614"/>
      <c r="G456" s="614">
        <f>G438+G441</f>
        <v>68.87</v>
      </c>
      <c r="H456" s="613"/>
      <c r="P456" s="80">
        <f>P426*I456</f>
        <v>0</v>
      </c>
      <c r="R456" s="80">
        <f>R426*J456</f>
        <v>0</v>
      </c>
    </row>
    <row r="457" spans="1:18" ht="14.25" hidden="1" thickTop="1" thickBot="1" x14ac:dyDescent="0.25">
      <c r="A457" s="609" t="s">
        <v>216</v>
      </c>
      <c r="B457" s="615" t="s">
        <v>158</v>
      </c>
      <c r="C457" s="611"/>
      <c r="D457" s="611"/>
      <c r="E457" s="611"/>
      <c r="F457" s="611"/>
      <c r="G457" s="614">
        <f>G435</f>
        <v>267.89999999999998</v>
      </c>
      <c r="H457" s="613"/>
      <c r="P457" s="80"/>
      <c r="R457" s="80"/>
    </row>
    <row r="458" spans="1:18" ht="13.5" hidden="1" thickBot="1" x14ac:dyDescent="0.25">
      <c r="A458" s="587"/>
      <c r="B458" s="59"/>
      <c r="C458" s="616"/>
      <c r="D458" s="59"/>
      <c r="E458" s="616"/>
      <c r="F458" s="59"/>
      <c r="G458" s="616"/>
      <c r="H458" s="588"/>
      <c r="P458" s="121"/>
      <c r="R458" s="121"/>
    </row>
    <row r="459" spans="1:18" ht="13.5" hidden="1" thickBot="1" x14ac:dyDescent="0.25">
      <c r="A459" s="617" t="s">
        <v>5</v>
      </c>
      <c r="B459" s="618" t="s">
        <v>218</v>
      </c>
      <c r="C459" s="619"/>
      <c r="D459" s="59"/>
      <c r="E459" s="619" t="s">
        <v>193</v>
      </c>
      <c r="F459" s="619" t="s">
        <v>193</v>
      </c>
      <c r="G459" s="619"/>
      <c r="H459" s="588"/>
      <c r="P459" s="116">
        <f>SUM(P427:P458)</f>
        <v>763.82021600000007</v>
      </c>
      <c r="R459" s="116">
        <f>SUM(R427:R458)</f>
        <v>2253.0496400000002</v>
      </c>
    </row>
    <row r="460" spans="1:18" ht="13.5" hidden="1" thickBot="1" x14ac:dyDescent="0.25">
      <c r="A460" s="617"/>
      <c r="B460" s="618"/>
      <c r="C460" s="619"/>
      <c r="D460" s="59"/>
      <c r="E460" s="619"/>
      <c r="F460" s="619" t="s">
        <v>193</v>
      </c>
      <c r="G460" s="619"/>
      <c r="H460" s="588"/>
    </row>
    <row r="461" spans="1:18" ht="13.5" hidden="1" thickBot="1" x14ac:dyDescent="0.25">
      <c r="A461" s="617"/>
      <c r="B461" s="618"/>
      <c r="C461" s="619"/>
      <c r="D461" s="59"/>
      <c r="E461" s="619"/>
      <c r="F461" s="619" t="s">
        <v>193</v>
      </c>
      <c r="G461" s="619"/>
      <c r="H461" s="588"/>
    </row>
    <row r="462" spans="1:18" ht="13.5" hidden="1" thickBot="1" x14ac:dyDescent="0.25">
      <c r="A462" s="617"/>
      <c r="B462" s="618"/>
      <c r="C462" s="618"/>
      <c r="D462" s="59"/>
      <c r="E462" s="618"/>
      <c r="F462" s="618"/>
      <c r="G462" s="618"/>
      <c r="H462" s="588"/>
    </row>
    <row r="463" spans="1:18" ht="13.5" hidden="1" thickBot="1" x14ac:dyDescent="0.25">
      <c r="A463" s="620" t="s">
        <v>14</v>
      </c>
      <c r="B463" s="621" t="s">
        <v>219</v>
      </c>
      <c r="C463" s="621"/>
      <c r="D463" s="59"/>
      <c r="E463" s="621" t="s">
        <v>195</v>
      </c>
      <c r="F463" s="621" t="s">
        <v>195</v>
      </c>
      <c r="G463" s="621"/>
      <c r="H463" s="588"/>
    </row>
    <row r="464" spans="1:18" ht="13.5" hidden="1" thickBot="1" x14ac:dyDescent="0.25">
      <c r="A464" s="622" t="s">
        <v>217</v>
      </c>
      <c r="B464" s="623" t="s">
        <v>12</v>
      </c>
      <c r="C464" s="623"/>
      <c r="D464" s="624"/>
      <c r="E464" s="623" t="s">
        <v>197</v>
      </c>
      <c r="F464" s="623" t="s">
        <v>197</v>
      </c>
      <c r="G464" s="623"/>
      <c r="H464" s="625"/>
    </row>
    <row r="465" spans="1:19" ht="13.5" hidden="1" thickBot="1" x14ac:dyDescent="0.25">
      <c r="A465" s="663"/>
      <c r="B465" s="664"/>
      <c r="C465" s="664"/>
      <c r="D465" s="664"/>
      <c r="E465" s="664"/>
      <c r="F465" s="664"/>
      <c r="G465" s="664"/>
      <c r="H465" s="665"/>
    </row>
    <row r="466" spans="1:19" ht="13.5" hidden="1" thickBot="1" x14ac:dyDescent="0.25">
      <c r="A466" s="666"/>
      <c r="B466" s="667"/>
      <c r="C466" s="667"/>
      <c r="D466" s="667"/>
      <c r="E466" s="667"/>
      <c r="F466" s="667"/>
      <c r="G466" s="667"/>
      <c r="H466" s="668"/>
    </row>
    <row r="467" spans="1:19" ht="13.5" hidden="1" thickBot="1" x14ac:dyDescent="0.25">
      <c r="A467" s="666"/>
      <c r="B467" s="667"/>
      <c r="C467" s="667"/>
      <c r="D467" s="667"/>
      <c r="E467" s="667"/>
      <c r="F467" s="667"/>
      <c r="G467" s="667"/>
      <c r="H467" s="668"/>
    </row>
    <row r="468" spans="1:19" ht="13.5" hidden="1" thickBot="1" x14ac:dyDescent="0.25">
      <c r="A468" s="669" t="s">
        <v>60</v>
      </c>
      <c r="B468" s="667"/>
      <c r="C468" s="667"/>
      <c r="D468" s="667"/>
      <c r="E468" s="667"/>
      <c r="F468" s="667"/>
      <c r="G468" s="667"/>
      <c r="H468" s="668"/>
    </row>
    <row r="469" spans="1:19" ht="13.5" hidden="1" thickBot="1" x14ac:dyDescent="0.25">
      <c r="A469" s="670" t="s">
        <v>240</v>
      </c>
      <c r="B469" s="667"/>
      <c r="C469" s="667"/>
      <c r="D469" s="667"/>
      <c r="E469" s="667"/>
      <c r="F469" s="667"/>
      <c r="G469" s="667"/>
      <c r="H469" s="668"/>
    </row>
    <row r="470" spans="1:19" ht="13.5" hidden="1" thickBot="1" x14ac:dyDescent="0.25">
      <c r="A470" s="670"/>
      <c r="B470" s="667"/>
      <c r="C470" s="667"/>
      <c r="D470" s="667"/>
      <c r="E470" s="667"/>
      <c r="F470" s="667"/>
      <c r="G470" s="667"/>
      <c r="H470" s="668"/>
      <c r="L470" s="257" t="s">
        <v>146</v>
      </c>
      <c r="M470" s="75" t="s">
        <v>6</v>
      </c>
      <c r="N470" s="75"/>
      <c r="O470" s="257" t="s">
        <v>146</v>
      </c>
      <c r="P470" s="413" t="s">
        <v>6</v>
      </c>
      <c r="R470" s="85" t="s">
        <v>147</v>
      </c>
    </row>
    <row r="471" spans="1:19" ht="13.5" hidden="1" thickBot="1" x14ac:dyDescent="0.25">
      <c r="A471" s="1041"/>
      <c r="B471" s="1042"/>
      <c r="C471" s="643" t="s">
        <v>6</v>
      </c>
      <c r="D471" s="1043" t="s">
        <v>47</v>
      </c>
      <c r="E471" s="1044"/>
      <c r="F471" s="1045"/>
      <c r="G471" s="1043" t="s">
        <v>13</v>
      </c>
      <c r="H471" s="1046"/>
      <c r="I471" s="662" t="s">
        <v>6</v>
      </c>
      <c r="J471" s="643" t="s">
        <v>47</v>
      </c>
      <c r="K471" s="643" t="s">
        <v>13</v>
      </c>
      <c r="L471" s="257" t="s">
        <v>130</v>
      </c>
      <c r="M471" s="260" t="s">
        <v>148</v>
      </c>
      <c r="N471" s="75"/>
      <c r="O471" s="257" t="s">
        <v>130</v>
      </c>
      <c r="P471" s="414" t="s">
        <v>130</v>
      </c>
      <c r="R471" s="80" t="s">
        <v>130</v>
      </c>
    </row>
    <row r="472" spans="1:19" ht="13.5" hidden="1" thickBot="1" x14ac:dyDescent="0.25">
      <c r="A472" s="669" t="s">
        <v>149</v>
      </c>
      <c r="B472" s="667"/>
      <c r="C472" s="671"/>
      <c r="D472" s="671"/>
      <c r="E472" s="671"/>
      <c r="F472" s="671"/>
      <c r="G472" s="671"/>
      <c r="H472" s="672"/>
      <c r="J472" s="93"/>
      <c r="L472" s="93">
        <v>18</v>
      </c>
      <c r="M472" s="93">
        <v>11</v>
      </c>
      <c r="O472" s="93">
        <v>21</v>
      </c>
      <c r="P472" s="93">
        <v>258</v>
      </c>
      <c r="R472" s="93">
        <v>1080</v>
      </c>
    </row>
    <row r="473" spans="1:19" ht="13.5" hidden="1" thickBot="1" x14ac:dyDescent="0.25">
      <c r="A473" s="666" t="s">
        <v>150</v>
      </c>
      <c r="B473" s="667" t="s">
        <v>135</v>
      </c>
      <c r="C473" s="673" t="e">
        <f>#REF!</f>
        <v>#REF!</v>
      </c>
      <c r="D473" s="673"/>
      <c r="E473" s="673" t="e">
        <f>C473</f>
        <v>#REF!</v>
      </c>
      <c r="F473" s="673"/>
      <c r="G473" s="673" t="e">
        <f>C473</f>
        <v>#REF!</v>
      </c>
      <c r="H473" s="674"/>
      <c r="I473" s="30">
        <v>5.1313000000000004</v>
      </c>
      <c r="J473" s="30">
        <f>I473</f>
        <v>5.1313000000000004</v>
      </c>
      <c r="K473" s="30">
        <f>J473</f>
        <v>5.1313000000000004</v>
      </c>
      <c r="L473" s="80">
        <f>L472*(I473)</f>
        <v>92.363400000000013</v>
      </c>
      <c r="M473" s="80">
        <f>M472*(J473)</f>
        <v>56.444300000000005</v>
      </c>
      <c r="O473" s="80">
        <f>O472*(I473)</f>
        <v>107.75730000000001</v>
      </c>
      <c r="P473" s="80">
        <f>P472*(I473+I475+I476)</f>
        <v>1323.8754000000001</v>
      </c>
      <c r="R473" s="80">
        <f>R472*(J473+J475+J476)</f>
        <v>5541.8040000000001</v>
      </c>
      <c r="S473" s="499">
        <f>P473+R473</f>
        <v>6865.6794</v>
      </c>
    </row>
    <row r="474" spans="1:19" ht="13.5" hidden="1" thickBot="1" x14ac:dyDescent="0.25">
      <c r="A474" s="666"/>
      <c r="B474" s="667"/>
      <c r="C474" s="675"/>
      <c r="D474" s="675"/>
      <c r="E474" s="675"/>
      <c r="F474" s="675"/>
      <c r="G474" s="675"/>
      <c r="H474" s="676"/>
      <c r="M474" s="80"/>
      <c r="O474" s="80"/>
      <c r="P474" s="80">
        <f>P472*I474</f>
        <v>0</v>
      </c>
      <c r="R474" s="80">
        <f>R472*J474</f>
        <v>0</v>
      </c>
    </row>
    <row r="475" spans="1:19" ht="13.5" hidden="1" thickBot="1" x14ac:dyDescent="0.25">
      <c r="A475" s="669" t="s">
        <v>156</v>
      </c>
      <c r="B475" s="667"/>
      <c r="C475" s="673"/>
      <c r="D475" s="673"/>
      <c r="E475" s="673"/>
      <c r="F475" s="673"/>
      <c r="G475" s="673"/>
      <c r="H475" s="668"/>
      <c r="M475" s="80"/>
      <c r="O475" s="80"/>
      <c r="P475" s="80"/>
      <c r="R475" s="80"/>
    </row>
    <row r="476" spans="1:19" ht="13.5" hidden="1" thickBot="1" x14ac:dyDescent="0.25">
      <c r="A476" s="666" t="s">
        <v>157</v>
      </c>
      <c r="B476" s="667" t="s">
        <v>158</v>
      </c>
      <c r="C476" s="673"/>
      <c r="D476" s="673"/>
      <c r="E476" s="673"/>
      <c r="F476" s="673"/>
      <c r="G476" s="673" t="e">
        <f>#REF!</f>
        <v>#REF!</v>
      </c>
      <c r="H476" s="674"/>
      <c r="K476" s="64">
        <v>206.14240000000001</v>
      </c>
      <c r="M476" s="80"/>
      <c r="O476" s="80"/>
      <c r="P476" s="80"/>
      <c r="R476" s="80"/>
    </row>
    <row r="477" spans="1:19" ht="13.5" hidden="1" thickBot="1" x14ac:dyDescent="0.25">
      <c r="A477" s="666" t="s">
        <v>159</v>
      </c>
      <c r="B477" s="667" t="s">
        <v>135</v>
      </c>
      <c r="C477" s="673" t="e">
        <f>#REF!</f>
        <v>#REF!</v>
      </c>
      <c r="D477" s="673"/>
      <c r="E477" s="673" t="e">
        <f>#REF!</f>
        <v>#REF!</v>
      </c>
      <c r="F477" s="673"/>
      <c r="G477" s="673"/>
      <c r="H477" s="674"/>
      <c r="I477" s="30">
        <v>0.77739999999999998</v>
      </c>
      <c r="J477" s="64">
        <v>0.77739999999999998</v>
      </c>
      <c r="L477" s="80">
        <f>L472*I477</f>
        <v>13.9932</v>
      </c>
      <c r="M477" s="80">
        <f>M472*I477</f>
        <v>8.5513999999999992</v>
      </c>
      <c r="O477" s="80">
        <f>O472*I477</f>
        <v>16.325399999999998</v>
      </c>
      <c r="P477" s="102">
        <f>P472*I477</f>
        <v>200.5692</v>
      </c>
      <c r="R477" s="102">
        <f>R472*J477</f>
        <v>839.59199999999998</v>
      </c>
      <c r="S477" s="499">
        <f>P477+R477</f>
        <v>1040.1612</v>
      </c>
    </row>
    <row r="478" spans="1:19" ht="13.5" hidden="1" thickBot="1" x14ac:dyDescent="0.25">
      <c r="A478" s="669" t="s">
        <v>160</v>
      </c>
      <c r="B478" s="667" t="s">
        <v>135</v>
      </c>
      <c r="C478" s="673" t="e">
        <f>#REF!</f>
        <v>#REF!</v>
      </c>
      <c r="D478" s="673"/>
      <c r="E478" s="673" t="e">
        <f>C478</f>
        <v>#REF!</v>
      </c>
      <c r="F478" s="673"/>
      <c r="G478" s="673" t="e">
        <f>C478</f>
        <v>#REF!</v>
      </c>
      <c r="H478" s="674"/>
      <c r="I478" s="30">
        <v>0.74480000000000002</v>
      </c>
      <c r="J478" s="30">
        <v>0.74480000000000002</v>
      </c>
      <c r="K478" s="30">
        <v>0.74480000000000002</v>
      </c>
      <c r="L478" s="80">
        <f>L472*I478</f>
        <v>13.4064</v>
      </c>
      <c r="M478" s="80">
        <f>M472*I478</f>
        <v>8.1928000000000001</v>
      </c>
      <c r="O478" s="80">
        <f>O472*I478</f>
        <v>15.6408</v>
      </c>
      <c r="P478" s="102">
        <f>P472*I478</f>
        <v>192.1584</v>
      </c>
      <c r="R478" s="102">
        <f>R472*J478</f>
        <v>804.38400000000001</v>
      </c>
      <c r="S478" s="499">
        <f>P478+R478</f>
        <v>996.54240000000004</v>
      </c>
    </row>
    <row r="479" spans="1:19" ht="13.5" hidden="1" thickBot="1" x14ac:dyDescent="0.25">
      <c r="A479" s="666"/>
      <c r="B479" s="667"/>
      <c r="C479" s="673"/>
      <c r="D479" s="673"/>
      <c r="E479" s="673"/>
      <c r="F479" s="673"/>
      <c r="G479" s="673"/>
      <c r="H479" s="674"/>
      <c r="M479" s="80"/>
      <c r="O479" s="80"/>
      <c r="P479" s="80"/>
      <c r="R479" s="80"/>
    </row>
    <row r="480" spans="1:19" ht="13.5" hidden="1" thickBot="1" x14ac:dyDescent="0.25">
      <c r="A480" s="669" t="s">
        <v>161</v>
      </c>
      <c r="B480" s="667"/>
      <c r="C480" s="673"/>
      <c r="D480" s="673"/>
      <c r="E480" s="673"/>
      <c r="F480" s="673"/>
      <c r="G480" s="673"/>
      <c r="H480" s="674"/>
      <c r="M480" s="80"/>
      <c r="O480" s="80"/>
      <c r="P480" s="80"/>
      <c r="R480" s="80"/>
    </row>
    <row r="481" spans="1:19" ht="13.5" hidden="1" thickBot="1" x14ac:dyDescent="0.25">
      <c r="A481" s="666" t="s">
        <v>162</v>
      </c>
      <c r="B481" s="667" t="s">
        <v>158</v>
      </c>
      <c r="C481" s="673"/>
      <c r="D481" s="673"/>
      <c r="E481" s="673"/>
      <c r="F481" s="673"/>
      <c r="G481" s="677">
        <v>267.89999999999998</v>
      </c>
      <c r="H481" s="674"/>
      <c r="K481" s="101">
        <v>267.89999999999998</v>
      </c>
      <c r="M481" s="80"/>
      <c r="O481" s="80"/>
      <c r="P481" s="80">
        <f>P472*I481</f>
        <v>0</v>
      </c>
      <c r="R481" s="80">
        <f>R472*J481</f>
        <v>0</v>
      </c>
    </row>
    <row r="482" spans="1:19" ht="13.5" hidden="1" thickBot="1" x14ac:dyDescent="0.25">
      <c r="A482" s="666" t="s">
        <v>163</v>
      </c>
      <c r="B482" s="667" t="s">
        <v>135</v>
      </c>
      <c r="C482" s="673">
        <v>0.84489999999999998</v>
      </c>
      <c r="D482" s="678"/>
      <c r="E482" s="679">
        <v>0.92589999999999995</v>
      </c>
      <c r="F482" s="673"/>
      <c r="G482" s="673"/>
      <c r="H482" s="674"/>
      <c r="I482" s="30">
        <v>0.84489999999999998</v>
      </c>
      <c r="J482" s="30">
        <v>0.92589999999999995</v>
      </c>
      <c r="L482" s="80">
        <f>L472*I482</f>
        <v>15.2082</v>
      </c>
      <c r="M482" s="80">
        <f>M472*I482</f>
        <v>9.2939000000000007</v>
      </c>
      <c r="O482" s="102">
        <f>O472*I482</f>
        <v>17.742899999999999</v>
      </c>
      <c r="P482" s="80">
        <f>P472*I482</f>
        <v>217.98419999999999</v>
      </c>
      <c r="R482" s="80">
        <f>R472*J482</f>
        <v>999.97199999999998</v>
      </c>
      <c r="S482" s="499">
        <f t="shared" ref="S482:S498" si="12">P482+R482</f>
        <v>1217.9562000000001</v>
      </c>
    </row>
    <row r="483" spans="1:19" ht="13.5" hidden="1" thickBot="1" x14ac:dyDescent="0.25">
      <c r="A483" s="669" t="s">
        <v>164</v>
      </c>
      <c r="B483" s="667"/>
      <c r="C483" s="673"/>
      <c r="D483" s="678"/>
      <c r="E483" s="673"/>
      <c r="F483" s="673"/>
      <c r="G483" s="673"/>
      <c r="H483" s="674"/>
      <c r="M483" s="80"/>
      <c r="O483" s="102"/>
      <c r="P483" s="80"/>
      <c r="R483" s="80"/>
    </row>
    <row r="484" spans="1:19" ht="13.5" hidden="1" thickBot="1" x14ac:dyDescent="0.25">
      <c r="A484" s="666" t="s">
        <v>165</v>
      </c>
      <c r="B484" s="667" t="s">
        <v>166</v>
      </c>
      <c r="C484" s="673"/>
      <c r="D484" s="678"/>
      <c r="E484" s="680">
        <v>40.15</v>
      </c>
      <c r="F484" s="677"/>
      <c r="G484" s="680">
        <v>40.15</v>
      </c>
      <c r="H484" s="674"/>
      <c r="J484" s="30">
        <v>40.15</v>
      </c>
      <c r="K484" s="30">
        <v>40.15</v>
      </c>
      <c r="M484" s="80"/>
      <c r="O484" s="102"/>
      <c r="P484" s="80"/>
      <c r="R484" s="80">
        <f>J484</f>
        <v>40.15</v>
      </c>
      <c r="S484" s="499">
        <f t="shared" si="12"/>
        <v>40.15</v>
      </c>
    </row>
    <row r="485" spans="1:19" ht="13.5" hidden="1" thickBot="1" x14ac:dyDescent="0.25">
      <c r="A485" s="666" t="s">
        <v>167</v>
      </c>
      <c r="B485" s="667" t="s">
        <v>135</v>
      </c>
      <c r="C485" s="673">
        <v>0.7732</v>
      </c>
      <c r="D485" s="678"/>
      <c r="E485" s="677"/>
      <c r="F485" s="677"/>
      <c r="G485" s="677"/>
      <c r="H485" s="674"/>
      <c r="I485" s="30">
        <v>0.7732</v>
      </c>
      <c r="L485" s="80">
        <f>L472*I485</f>
        <v>13.9176</v>
      </c>
      <c r="M485" s="80">
        <f>M472*I485</f>
        <v>8.5052000000000003</v>
      </c>
      <c r="O485" s="102">
        <f>O472*I485</f>
        <v>16.237200000000001</v>
      </c>
      <c r="P485" s="102">
        <f>(P472*I485)*1</f>
        <v>199.48560000000001</v>
      </c>
      <c r="R485" s="80"/>
      <c r="S485" s="499">
        <f t="shared" si="12"/>
        <v>199.48560000000001</v>
      </c>
    </row>
    <row r="486" spans="1:19" ht="13.5" hidden="1" thickBot="1" x14ac:dyDescent="0.25">
      <c r="A486" s="669" t="s">
        <v>168</v>
      </c>
      <c r="B486" s="667"/>
      <c r="C486" s="667"/>
      <c r="D486" s="678"/>
      <c r="E486" s="677"/>
      <c r="F486" s="677"/>
      <c r="G486" s="677"/>
      <c r="H486" s="674"/>
      <c r="M486" s="80"/>
      <c r="O486" s="102"/>
      <c r="P486" s="102"/>
      <c r="R486" s="102">
        <f>R472*J486</f>
        <v>0</v>
      </c>
    </row>
    <row r="487" spans="1:19" ht="13.5" hidden="1" thickBot="1" x14ac:dyDescent="0.25">
      <c r="A487" s="666" t="s">
        <v>221</v>
      </c>
      <c r="B487" s="667" t="s">
        <v>170</v>
      </c>
      <c r="C487" s="673">
        <v>5</v>
      </c>
      <c r="D487" s="678"/>
      <c r="E487" s="680">
        <v>28.72</v>
      </c>
      <c r="F487" s="677"/>
      <c r="G487" s="680">
        <v>28.72</v>
      </c>
      <c r="H487" s="674"/>
      <c r="I487" s="101">
        <v>5</v>
      </c>
      <c r="J487" s="30">
        <v>28.72</v>
      </c>
      <c r="K487" s="30">
        <v>28.72</v>
      </c>
      <c r="L487" s="80">
        <v>5</v>
      </c>
      <c r="M487" s="80">
        <v>5</v>
      </c>
      <c r="O487" s="102">
        <v>5</v>
      </c>
      <c r="P487" s="80">
        <f>5*1</f>
        <v>5</v>
      </c>
      <c r="R487" s="102">
        <f>J487</f>
        <v>28.72</v>
      </c>
      <c r="S487" s="499">
        <f t="shared" si="12"/>
        <v>33.72</v>
      </c>
    </row>
    <row r="488" spans="1:19" ht="13.5" hidden="1" thickBot="1" x14ac:dyDescent="0.25">
      <c r="A488" s="666" t="s">
        <v>171</v>
      </c>
      <c r="B488" s="667" t="s">
        <v>135</v>
      </c>
      <c r="C488" s="673">
        <v>0.45689999999999997</v>
      </c>
      <c r="D488" s="673"/>
      <c r="E488" s="673"/>
      <c r="F488" s="673"/>
      <c r="G488" s="673"/>
      <c r="H488" s="674"/>
      <c r="I488" s="30">
        <v>0.45689999999999997</v>
      </c>
      <c r="L488" s="80">
        <f>L472*I488</f>
        <v>8.2241999999999997</v>
      </c>
      <c r="M488" s="80">
        <f>M472*I488</f>
        <v>5.0259</v>
      </c>
      <c r="O488" s="102">
        <f>O472*I488</f>
        <v>9.5948999999999991</v>
      </c>
      <c r="P488" s="80">
        <f>P472*I488</f>
        <v>117.88019999999999</v>
      </c>
      <c r="R488" s="103">
        <f>G488</f>
        <v>0</v>
      </c>
      <c r="S488" s="499">
        <f t="shared" si="12"/>
        <v>117.88019999999999</v>
      </c>
    </row>
    <row r="489" spans="1:19" ht="13.5" hidden="1" thickBot="1" x14ac:dyDescent="0.25">
      <c r="A489" s="669" t="s">
        <v>172</v>
      </c>
      <c r="B489" s="667" t="s">
        <v>135</v>
      </c>
      <c r="C489" s="673" t="e">
        <f>#REF!</f>
        <v>#REF!</v>
      </c>
      <c r="D489" s="678"/>
      <c r="E489" s="679" t="e">
        <f>C489</f>
        <v>#REF!</v>
      </c>
      <c r="F489" s="679"/>
      <c r="G489" s="679" t="e">
        <f>C489</f>
        <v>#REF!</v>
      </c>
      <c r="H489" s="674"/>
      <c r="I489" s="64">
        <v>9.7900000000000001E-2</v>
      </c>
      <c r="J489" s="64">
        <f t="shared" ref="J489:J501" si="13">I489</f>
        <v>9.7900000000000001E-2</v>
      </c>
      <c r="K489" s="64">
        <f t="shared" ref="K489:K497" si="14">I489</f>
        <v>9.7900000000000001E-2</v>
      </c>
      <c r="L489" s="80">
        <f>-(L473+L477+L478+L482+L485+L487+L488)*25%</f>
        <v>-40.52825</v>
      </c>
      <c r="M489" s="80">
        <f>-(M473+M477+M478+M482+M485+M487+M488)*25%</f>
        <v>-25.253375000000005</v>
      </c>
      <c r="O489" s="102">
        <f>O472*I489</f>
        <v>2.0558999999999998</v>
      </c>
      <c r="P489" s="80">
        <f>P472*I489</f>
        <v>25.258199999999999</v>
      </c>
      <c r="R489" s="102">
        <f>R472*J489</f>
        <v>105.732</v>
      </c>
      <c r="S489" s="499">
        <f t="shared" si="12"/>
        <v>130.99019999999999</v>
      </c>
    </row>
    <row r="490" spans="1:19" ht="13.5" hidden="1" thickBot="1" x14ac:dyDescent="0.25">
      <c r="A490" s="669" t="s">
        <v>173</v>
      </c>
      <c r="B490" s="667"/>
      <c r="C490" s="673" t="e">
        <f>#REF!</f>
        <v>#REF!</v>
      </c>
      <c r="D490" s="678"/>
      <c r="E490" s="679" t="e">
        <f>C490</f>
        <v>#REF!</v>
      </c>
      <c r="F490" s="679"/>
      <c r="G490" s="679" t="e">
        <f>C490</f>
        <v>#REF!</v>
      </c>
      <c r="H490" s="674"/>
      <c r="I490" s="30">
        <v>1.4E-3</v>
      </c>
      <c r="J490" s="64">
        <f t="shared" si="13"/>
        <v>1.4E-3</v>
      </c>
      <c r="K490" s="64">
        <f t="shared" si="14"/>
        <v>1.4E-3</v>
      </c>
      <c r="L490" s="106">
        <f>L468*I490</f>
        <v>0</v>
      </c>
      <c r="M490" s="80"/>
      <c r="O490" s="80">
        <f>-(O473+O477+O478+O482+O485+O487+O488)*5%</f>
        <v>-9.414925000000002</v>
      </c>
      <c r="P490" s="80">
        <f>P472*I490</f>
        <v>0.36120000000000002</v>
      </c>
      <c r="R490" s="107">
        <f>R472*J490</f>
        <v>1.512</v>
      </c>
      <c r="S490" s="499">
        <f t="shared" si="12"/>
        <v>1.8732</v>
      </c>
    </row>
    <row r="491" spans="1:19" ht="13.5" hidden="1" thickBot="1" x14ac:dyDescent="0.25">
      <c r="A491" s="669" t="s">
        <v>242</v>
      </c>
      <c r="B491" s="667"/>
      <c r="C491" s="673"/>
      <c r="D491" s="678"/>
      <c r="E491" s="679"/>
      <c r="F491" s="679"/>
      <c r="G491" s="679"/>
      <c r="H491" s="674"/>
      <c r="I491" s="30">
        <v>0.40039999999999998</v>
      </c>
      <c r="J491" s="64">
        <f t="shared" si="13"/>
        <v>0.40039999999999998</v>
      </c>
      <c r="K491" s="64">
        <f t="shared" si="14"/>
        <v>0.40039999999999998</v>
      </c>
      <c r="L491" s="80">
        <f>L472*I491</f>
        <v>7.2071999999999994</v>
      </c>
      <c r="M491" s="80">
        <f>M472*J491</f>
        <v>4.4043999999999999</v>
      </c>
      <c r="O491" s="80">
        <f>O472*I491</f>
        <v>8.4084000000000003</v>
      </c>
      <c r="P491" s="80">
        <f>P472*I491</f>
        <v>103.30319999999999</v>
      </c>
      <c r="R491" s="107">
        <f>R472*J491</f>
        <v>432.43199999999996</v>
      </c>
      <c r="S491" s="499">
        <f t="shared" si="12"/>
        <v>535.73519999999996</v>
      </c>
    </row>
    <row r="492" spans="1:19" ht="13.5" hidden="1" thickBot="1" x14ac:dyDescent="0.25">
      <c r="A492" s="666" t="s">
        <v>243</v>
      </c>
      <c r="B492" s="667" t="s">
        <v>135</v>
      </c>
      <c r="C492" s="673">
        <v>0.49249999999999999</v>
      </c>
      <c r="D492" s="673"/>
      <c r="E492" s="673">
        <f>C492</f>
        <v>0.49249999999999999</v>
      </c>
      <c r="F492" s="673"/>
      <c r="G492" s="673">
        <f>C492</f>
        <v>0.49249999999999999</v>
      </c>
      <c r="H492" s="674"/>
      <c r="I492" s="30">
        <v>0.49249999999999999</v>
      </c>
      <c r="J492" s="64">
        <f>I492</f>
        <v>0.49249999999999999</v>
      </c>
      <c r="K492" s="64">
        <f>I492</f>
        <v>0.49249999999999999</v>
      </c>
      <c r="L492" s="80">
        <f>L472*I492</f>
        <v>8.8650000000000002</v>
      </c>
      <c r="M492" s="80">
        <f>M472*I492</f>
        <v>5.4174999999999995</v>
      </c>
      <c r="O492" s="80">
        <f>O472*I492</f>
        <v>10.342499999999999</v>
      </c>
      <c r="P492" s="745">
        <f>$P$472*I492</f>
        <v>127.065</v>
      </c>
      <c r="R492" s="107">
        <f>$R$472*J492</f>
        <v>531.9</v>
      </c>
      <c r="S492" s="499">
        <f t="shared" si="12"/>
        <v>658.96499999999992</v>
      </c>
    </row>
    <row r="493" spans="1:19" ht="13.5" hidden="1" thickBot="1" x14ac:dyDescent="0.25">
      <c r="A493" s="666" t="s">
        <v>244</v>
      </c>
      <c r="B493" s="667" t="s">
        <v>135</v>
      </c>
      <c r="C493" s="673">
        <v>0.49299999999999999</v>
      </c>
      <c r="D493" s="678"/>
      <c r="E493" s="673">
        <f>C493</f>
        <v>0.49299999999999999</v>
      </c>
      <c r="F493" s="679"/>
      <c r="G493" s="673">
        <f>C493</f>
        <v>0.49299999999999999</v>
      </c>
      <c r="H493" s="674"/>
      <c r="I493" s="30">
        <v>0.49299999999999999</v>
      </c>
      <c r="J493" s="64">
        <f>I493</f>
        <v>0.49299999999999999</v>
      </c>
      <c r="K493" s="64">
        <f>I493</f>
        <v>0.49299999999999999</v>
      </c>
      <c r="M493" s="80"/>
      <c r="O493" s="80"/>
      <c r="P493" s="745"/>
      <c r="R493" s="107"/>
      <c r="S493" s="499">
        <f t="shared" si="12"/>
        <v>0</v>
      </c>
    </row>
    <row r="494" spans="1:19" ht="13.5" hidden="1" thickBot="1" x14ac:dyDescent="0.25">
      <c r="A494" s="669" t="s">
        <v>174</v>
      </c>
      <c r="B494" s="667"/>
      <c r="C494" s="673"/>
      <c r="D494" s="673"/>
      <c r="E494" s="673"/>
      <c r="F494" s="673"/>
      <c r="G494" s="673"/>
      <c r="H494" s="674"/>
      <c r="J494" s="64"/>
      <c r="K494" s="64"/>
      <c r="M494" s="80"/>
      <c r="O494" s="80"/>
      <c r="P494" s="80"/>
      <c r="R494" s="107"/>
      <c r="S494" s="499">
        <f t="shared" si="12"/>
        <v>0</v>
      </c>
    </row>
    <row r="495" spans="1:19" ht="13.5" hidden="1" thickBot="1" x14ac:dyDescent="0.25">
      <c r="A495" s="666" t="s">
        <v>175</v>
      </c>
      <c r="B495" s="667" t="s">
        <v>135</v>
      </c>
      <c r="C495" s="673">
        <f>0.1163</f>
        <v>0.1163</v>
      </c>
      <c r="D495" s="673"/>
      <c r="E495" s="673">
        <f>C495</f>
        <v>0.1163</v>
      </c>
      <c r="F495" s="673"/>
      <c r="G495" s="673">
        <f>C495</f>
        <v>0.1163</v>
      </c>
      <c r="H495" s="681"/>
      <c r="I495" s="30">
        <v>0.1163</v>
      </c>
      <c r="J495" s="64">
        <f t="shared" si="13"/>
        <v>0.1163</v>
      </c>
      <c r="K495" s="64">
        <f t="shared" si="14"/>
        <v>0.1163</v>
      </c>
      <c r="L495" s="80">
        <f>L472*I495</f>
        <v>2.0933999999999999</v>
      </c>
      <c r="M495" s="80">
        <f>M472*I495</f>
        <v>1.2793000000000001</v>
      </c>
      <c r="O495" s="80">
        <f>O472*I495</f>
        <v>2.4422999999999999</v>
      </c>
      <c r="P495" s="80">
        <f>P472*I495</f>
        <v>30.005400000000002</v>
      </c>
      <c r="R495" s="80">
        <f>R472*J495</f>
        <v>125.604</v>
      </c>
      <c r="S495" s="499">
        <f t="shared" si="12"/>
        <v>155.60939999999999</v>
      </c>
    </row>
    <row r="496" spans="1:19" ht="13.5" hidden="1" thickBot="1" x14ac:dyDescent="0.25">
      <c r="A496" s="666" t="s">
        <v>176</v>
      </c>
      <c r="B496" s="667" t="s">
        <v>135</v>
      </c>
      <c r="C496" s="673">
        <v>2.5000000000000001E-3</v>
      </c>
      <c r="D496" s="673"/>
      <c r="E496" s="673">
        <v>2.5000000000000001E-3</v>
      </c>
      <c r="F496" s="673"/>
      <c r="G496" s="679">
        <f>C496</f>
        <v>2.5000000000000001E-3</v>
      </c>
      <c r="H496" s="674"/>
      <c r="I496" s="30">
        <v>2.5000000000000001E-3</v>
      </c>
      <c r="J496" s="64">
        <f t="shared" si="13"/>
        <v>2.5000000000000001E-3</v>
      </c>
      <c r="K496" s="64">
        <f t="shared" si="14"/>
        <v>2.5000000000000001E-3</v>
      </c>
      <c r="L496" s="80">
        <f>$L$141*I496</f>
        <v>1.7500000000000002E-2</v>
      </c>
      <c r="M496" s="80">
        <f>M472*I496</f>
        <v>2.75E-2</v>
      </c>
      <c r="O496" s="80">
        <f>O472*I496</f>
        <v>5.2499999999999998E-2</v>
      </c>
      <c r="P496" s="80">
        <f>P472*I496</f>
        <v>0.64500000000000002</v>
      </c>
      <c r="R496" s="80">
        <f>R472*J496</f>
        <v>2.7</v>
      </c>
      <c r="S496" s="499">
        <f t="shared" si="12"/>
        <v>3.3450000000000002</v>
      </c>
    </row>
    <row r="497" spans="1:19" ht="13.5" hidden="1" thickBot="1" x14ac:dyDescent="0.25">
      <c r="A497" s="666" t="s">
        <v>200</v>
      </c>
      <c r="B497" s="667" t="s">
        <v>135</v>
      </c>
      <c r="C497" s="673">
        <f>0.1938</f>
        <v>0.1938</v>
      </c>
      <c r="D497" s="673"/>
      <c r="E497" s="673">
        <f>C497</f>
        <v>0.1938</v>
      </c>
      <c r="F497" s="673"/>
      <c r="G497" s="679">
        <f>C497</f>
        <v>0.1938</v>
      </c>
      <c r="H497" s="681"/>
      <c r="I497" s="30">
        <v>0.1938</v>
      </c>
      <c r="J497" s="64">
        <f t="shared" si="13"/>
        <v>0.1938</v>
      </c>
      <c r="K497" s="64">
        <f t="shared" si="14"/>
        <v>0.1938</v>
      </c>
      <c r="L497" s="80">
        <f>$L$141*I497</f>
        <v>1.3566</v>
      </c>
      <c r="M497" s="80">
        <f>M472*I497</f>
        <v>2.1318000000000001</v>
      </c>
      <c r="O497" s="80">
        <f>O472*I497</f>
        <v>4.0697999999999999</v>
      </c>
      <c r="P497" s="80">
        <f>P472*I497</f>
        <v>50.000399999999999</v>
      </c>
      <c r="R497" s="80">
        <f>R472*J497</f>
        <v>209.304</v>
      </c>
      <c r="S497" s="499">
        <f t="shared" si="12"/>
        <v>259.30439999999999</v>
      </c>
    </row>
    <row r="498" spans="1:19" ht="13.5" hidden="1" thickBot="1" x14ac:dyDescent="0.25">
      <c r="A498" s="682" t="s">
        <v>182</v>
      </c>
      <c r="B498" s="667"/>
      <c r="C498" s="673"/>
      <c r="D498" s="673"/>
      <c r="E498" s="673"/>
      <c r="F498" s="673"/>
      <c r="G498" s="679"/>
      <c r="H498" s="681"/>
      <c r="I498" s="626"/>
      <c r="J498" s="64"/>
      <c r="K498" s="64"/>
      <c r="M498" s="80"/>
      <c r="O498" s="80">
        <f>O472*I498</f>
        <v>0</v>
      </c>
      <c r="P498" s="80">
        <f>P472*I498</f>
        <v>0</v>
      </c>
      <c r="R498" s="80">
        <f>R472*J498</f>
        <v>0</v>
      </c>
      <c r="S498" s="499">
        <f t="shared" si="12"/>
        <v>0</v>
      </c>
    </row>
    <row r="499" spans="1:19" ht="13.5" hidden="1" thickBot="1" x14ac:dyDescent="0.25">
      <c r="A499" s="666" t="s">
        <v>211</v>
      </c>
      <c r="B499" s="667" t="s">
        <v>135</v>
      </c>
      <c r="C499" s="673" t="e">
        <f>#REF!</f>
        <v>#REF!</v>
      </c>
      <c r="D499" s="673"/>
      <c r="E499" s="673" t="e">
        <f>C499</f>
        <v>#REF!</v>
      </c>
      <c r="F499" s="673"/>
      <c r="G499" s="679" t="e">
        <f>C499</f>
        <v>#REF!</v>
      </c>
      <c r="H499" s="681"/>
      <c r="I499" s="64">
        <v>0.16300000000000001</v>
      </c>
      <c r="J499" s="64">
        <f t="shared" si="13"/>
        <v>0.16300000000000001</v>
      </c>
      <c r="K499" s="64">
        <f>J499</f>
        <v>0.16300000000000001</v>
      </c>
      <c r="L499" s="115">
        <f>SUM(L473:L498)</f>
        <v>141.12445</v>
      </c>
      <c r="M499" s="116">
        <f>SUM(M473:M498)</f>
        <v>89.020625000000024</v>
      </c>
      <c r="N499" s="30" t="s">
        <v>180</v>
      </c>
      <c r="O499" s="80">
        <f>O472*I499</f>
        <v>3.423</v>
      </c>
      <c r="P499" s="80">
        <f>P472*I499</f>
        <v>42.054000000000002</v>
      </c>
      <c r="R499" s="80">
        <f>R472*J499</f>
        <v>176.04000000000002</v>
      </c>
      <c r="S499" s="499">
        <f>P499+R499</f>
        <v>218.09400000000002</v>
      </c>
    </row>
    <row r="500" spans="1:19" ht="13.5" hidden="1" thickBot="1" x14ac:dyDescent="0.25">
      <c r="A500" s="666" t="s">
        <v>212</v>
      </c>
      <c r="B500" s="667" t="s">
        <v>135</v>
      </c>
      <c r="C500" s="673" t="e">
        <f>#REF!</f>
        <v>#REF!</v>
      </c>
      <c r="D500" s="673"/>
      <c r="E500" s="673" t="e">
        <f>C500</f>
        <v>#REF!</v>
      </c>
      <c r="F500" s="673"/>
      <c r="G500" s="679" t="e">
        <f>C500</f>
        <v>#REF!</v>
      </c>
      <c r="H500" s="681"/>
      <c r="I500" s="30">
        <v>2.5000000000000001E-3</v>
      </c>
      <c r="J500" s="64">
        <f t="shared" si="13"/>
        <v>2.5000000000000001E-3</v>
      </c>
      <c r="K500" s="64">
        <f>J500</f>
        <v>2.5000000000000001E-3</v>
      </c>
      <c r="N500" s="30" t="s">
        <v>183</v>
      </c>
      <c r="O500" s="80">
        <f>O472*I500</f>
        <v>5.2499999999999998E-2</v>
      </c>
      <c r="P500" s="80">
        <f>P472*I500</f>
        <v>0.64500000000000002</v>
      </c>
      <c r="R500" s="80">
        <f>R472*J500</f>
        <v>2.7</v>
      </c>
      <c r="S500" s="499">
        <f>P500+R500</f>
        <v>3.3450000000000002</v>
      </c>
    </row>
    <row r="501" spans="1:19" ht="13.5" hidden="1" thickBot="1" x14ac:dyDescent="0.25">
      <c r="A501" s="666" t="s">
        <v>213</v>
      </c>
      <c r="B501" s="667" t="s">
        <v>135</v>
      </c>
      <c r="C501" s="673" t="e">
        <f>#REF!</f>
        <v>#REF!</v>
      </c>
      <c r="D501" s="673"/>
      <c r="E501" s="673" t="e">
        <f>C501</f>
        <v>#REF!</v>
      </c>
      <c r="F501" s="673"/>
      <c r="G501" s="679" t="e">
        <f>C501</f>
        <v>#REF!</v>
      </c>
      <c r="H501" s="681"/>
      <c r="I501" s="30">
        <v>2.0799999999999999E-2</v>
      </c>
      <c r="J501" s="64">
        <f t="shared" si="13"/>
        <v>2.0799999999999999E-2</v>
      </c>
      <c r="K501" s="64">
        <f>J501</f>
        <v>2.0799999999999999E-2</v>
      </c>
      <c r="N501" s="30" t="s">
        <v>186</v>
      </c>
      <c r="O501" s="80">
        <f>O472*I501</f>
        <v>0.43679999999999997</v>
      </c>
      <c r="P501" s="80">
        <f>P472*I501</f>
        <v>5.3663999999999996</v>
      </c>
      <c r="R501" s="80">
        <f>R472*J501</f>
        <v>22.463999999999999</v>
      </c>
      <c r="S501" s="499">
        <f>P501+R501</f>
        <v>27.830399999999997</v>
      </c>
    </row>
    <row r="502" spans="1:19" ht="13.5" hidden="1" thickBot="1" x14ac:dyDescent="0.25">
      <c r="A502" s="666" t="s">
        <v>214</v>
      </c>
      <c r="B502" s="667" t="s">
        <v>215</v>
      </c>
      <c r="C502" s="683">
        <v>0.12</v>
      </c>
      <c r="D502" s="673"/>
      <c r="E502" s="683">
        <v>0.12</v>
      </c>
      <c r="F502" s="673"/>
      <c r="G502" s="683">
        <v>0.12</v>
      </c>
      <c r="H502" s="681"/>
      <c r="I502" s="64"/>
      <c r="J502" s="64"/>
      <c r="K502" s="64"/>
      <c r="L502" s="107" t="s">
        <v>182</v>
      </c>
      <c r="O502" s="80"/>
      <c r="P502" s="80"/>
      <c r="R502" s="80">
        <f>R472*J502</f>
        <v>0</v>
      </c>
      <c r="S502" s="499">
        <f>P502+R502</f>
        <v>0</v>
      </c>
    </row>
    <row r="503" spans="1:19" ht="13.5" hidden="1" thickBot="1" x14ac:dyDescent="0.25">
      <c r="A503" s="684" t="s">
        <v>177</v>
      </c>
      <c r="B503" s="685" t="s">
        <v>135</v>
      </c>
      <c r="C503" s="686">
        <v>0.40039999999999998</v>
      </c>
      <c r="D503" s="686"/>
      <c r="E503" s="686">
        <v>0.40039999999999998</v>
      </c>
      <c r="F503" s="686"/>
      <c r="G503" s="687">
        <f>C503</f>
        <v>0.40039999999999998</v>
      </c>
      <c r="H503" s="688"/>
      <c r="I503" s="64"/>
      <c r="J503" s="64"/>
      <c r="K503" s="64"/>
      <c r="N503" s="30" t="s">
        <v>191</v>
      </c>
      <c r="O503" s="121">
        <f>(SUM(O474,O482:O489))*12%</f>
        <v>6.0757080000000006</v>
      </c>
      <c r="P503" s="121">
        <f>(SUM(P474,P482:P489))*12%</f>
        <v>67.872983999999988</v>
      </c>
      <c r="R503" s="121">
        <f>(SUM(R474,R482:R489))*12%</f>
        <v>140.94888</v>
      </c>
      <c r="S503" s="499">
        <f>P503+R503</f>
        <v>208.82186400000001</v>
      </c>
    </row>
    <row r="504" spans="1:19" ht="13.5" hidden="1" thickBot="1" x14ac:dyDescent="0.25">
      <c r="A504" s="689" t="s">
        <v>246</v>
      </c>
      <c r="B504" s="690"/>
      <c r="C504" s="691">
        <f>5.1313+0.7774+0.7448+0.8449+0.7732+0.4569+0.0979+0.0014+0.4925+0.1163+0.0025+0.1938+0.163+0.0025+0.0208+0.4004</f>
        <v>10.219599999999996</v>
      </c>
      <c r="D504" s="692"/>
      <c r="E504" s="691">
        <f>5.1313+0.7774+0.7448+0.9259+0.0979+0.0014+0.4925+0.1163+0.0025+0.1938+0.163+0.0025+0.0208+0.4004</f>
        <v>9.0704999999999991</v>
      </c>
      <c r="F504" s="692"/>
      <c r="G504" s="691">
        <f>5.1313+0.7448+0.0979+0.0014+0.4925+0.1163+0.0025+0.1938+0.163+0.0025+0.0208+0.4004</f>
        <v>7.3672000000000022</v>
      </c>
      <c r="H504" s="693"/>
      <c r="I504" s="64"/>
      <c r="J504" s="64"/>
      <c r="K504" s="64"/>
      <c r="O504" s="116">
        <f>SUM(O473:O503)</f>
        <v>216.24298300000001</v>
      </c>
      <c r="P504" s="116">
        <f>SUM(P473:P503)</f>
        <v>2709.5297839999998</v>
      </c>
      <c r="R504" s="116">
        <f>SUM(R473:R503)</f>
        <v>10005.958880000002</v>
      </c>
    </row>
    <row r="505" spans="1:19" ht="13.5" hidden="1" thickBot="1" x14ac:dyDescent="0.25">
      <c r="A505" s="689" t="s">
        <v>179</v>
      </c>
      <c r="B505" s="690" t="s">
        <v>166</v>
      </c>
      <c r="C505" s="694">
        <f>C487</f>
        <v>5</v>
      </c>
      <c r="D505" s="694"/>
      <c r="E505" s="694">
        <f>E484+E487</f>
        <v>68.87</v>
      </c>
      <c r="F505" s="694"/>
      <c r="G505" s="694">
        <f>G484+G487</f>
        <v>68.87</v>
      </c>
      <c r="H505" s="693"/>
      <c r="P505" s="80"/>
      <c r="R505" s="80"/>
    </row>
    <row r="506" spans="1:19" ht="14.25" hidden="1" thickTop="1" thickBot="1" x14ac:dyDescent="0.25">
      <c r="A506" s="689" t="s">
        <v>216</v>
      </c>
      <c r="B506" s="695" t="s">
        <v>158</v>
      </c>
      <c r="C506" s="691"/>
      <c r="D506" s="691"/>
      <c r="E506" s="691"/>
      <c r="F506" s="691"/>
      <c r="G506" s="694">
        <f>G481</f>
        <v>267.89999999999998</v>
      </c>
      <c r="H506" s="693"/>
      <c r="P506" s="80"/>
      <c r="R506" s="80"/>
    </row>
    <row r="507" spans="1:19" ht="13.5" hidden="1" thickBot="1" x14ac:dyDescent="0.25">
      <c r="A507" s="666"/>
      <c r="B507" s="667"/>
      <c r="C507" s="696"/>
      <c r="D507" s="667"/>
      <c r="E507" s="696"/>
      <c r="F507" s="667"/>
      <c r="G507" s="696"/>
      <c r="H507" s="668"/>
      <c r="P507" s="80"/>
      <c r="R507" s="80"/>
    </row>
    <row r="508" spans="1:19" ht="13.5" hidden="1" thickBot="1" x14ac:dyDescent="0.25">
      <c r="A508" s="697" t="s">
        <v>5</v>
      </c>
      <c r="B508" s="696" t="s">
        <v>218</v>
      </c>
      <c r="C508" s="696"/>
      <c r="D508" s="667"/>
      <c r="E508" s="696" t="s">
        <v>193</v>
      </c>
      <c r="F508" s="696" t="s">
        <v>193</v>
      </c>
      <c r="G508" s="696"/>
      <c r="H508" s="668"/>
      <c r="P508" s="80"/>
      <c r="R508" s="80"/>
    </row>
    <row r="509" spans="1:19" ht="13.5" hidden="1" thickBot="1" x14ac:dyDescent="0.25">
      <c r="A509" s="697"/>
      <c r="B509" s="696"/>
      <c r="C509" s="696"/>
      <c r="D509" s="667"/>
      <c r="E509" s="696"/>
      <c r="F509" s="696" t="s">
        <v>193</v>
      </c>
      <c r="G509" s="696"/>
      <c r="H509" s="668"/>
      <c r="P509" s="80"/>
      <c r="R509" s="80"/>
    </row>
    <row r="510" spans="1:19" ht="13.5" hidden="1" thickBot="1" x14ac:dyDescent="0.25">
      <c r="A510" s="697"/>
      <c r="B510" s="696"/>
      <c r="C510" s="696"/>
      <c r="D510" s="667"/>
      <c r="E510" s="696"/>
      <c r="F510" s="696" t="s">
        <v>193</v>
      </c>
      <c r="G510" s="696"/>
      <c r="H510" s="668"/>
      <c r="P510" s="80"/>
      <c r="R510" s="80"/>
    </row>
    <row r="511" spans="1:19" ht="13.5" hidden="1" thickBot="1" x14ac:dyDescent="0.25">
      <c r="A511" s="697"/>
      <c r="B511" s="696"/>
      <c r="C511" s="696"/>
      <c r="D511" s="667"/>
      <c r="E511" s="696"/>
      <c r="F511" s="696"/>
      <c r="G511" s="696"/>
      <c r="H511" s="668"/>
    </row>
    <row r="512" spans="1:19" ht="13.5" hidden="1" thickBot="1" x14ac:dyDescent="0.25">
      <c r="A512" s="697" t="s">
        <v>14</v>
      </c>
      <c r="B512" s="696" t="s">
        <v>219</v>
      </c>
      <c r="C512" s="696"/>
      <c r="D512" s="667"/>
      <c r="E512" s="696" t="s">
        <v>195</v>
      </c>
      <c r="F512" s="696" t="s">
        <v>195</v>
      </c>
      <c r="G512" s="696"/>
      <c r="H512" s="668"/>
    </row>
    <row r="513" spans="1:19" ht="13.5" hidden="1" thickBot="1" x14ac:dyDescent="0.25">
      <c r="A513" s="698" t="s">
        <v>217</v>
      </c>
      <c r="B513" s="699" t="s">
        <v>12</v>
      </c>
      <c r="C513" s="699"/>
      <c r="D513" s="699"/>
      <c r="E513" s="699" t="s">
        <v>197</v>
      </c>
      <c r="F513" s="699" t="s">
        <v>197</v>
      </c>
      <c r="G513" s="699"/>
      <c r="H513" s="700"/>
    </row>
    <row r="514" spans="1:19" x14ac:dyDescent="0.2">
      <c r="A514" s="743"/>
      <c r="B514" s="744"/>
      <c r="C514" s="744"/>
      <c r="D514" s="744"/>
      <c r="E514" s="744"/>
      <c r="F514" s="744"/>
      <c r="G514" s="744"/>
      <c r="H514" s="746"/>
    </row>
    <row r="515" spans="1:19" x14ac:dyDescent="0.2">
      <c r="A515" s="5"/>
      <c r="B515"/>
      <c r="C515"/>
      <c r="D515"/>
      <c r="E515"/>
      <c r="F515"/>
      <c r="G515"/>
      <c r="H515" s="6"/>
    </row>
    <row r="516" spans="1:19" x14ac:dyDescent="0.2">
      <c r="A516" s="5"/>
      <c r="B516"/>
      <c r="C516"/>
      <c r="D516"/>
      <c r="E516"/>
      <c r="F516"/>
      <c r="G516"/>
      <c r="H516" s="6"/>
    </row>
    <row r="517" spans="1:19" x14ac:dyDescent="0.2">
      <c r="A517" s="7" t="s">
        <v>60</v>
      </c>
      <c r="B517"/>
      <c r="C517"/>
      <c r="D517"/>
      <c r="E517"/>
      <c r="F517"/>
      <c r="G517"/>
      <c r="H517" s="6"/>
    </row>
    <row r="518" spans="1:19" x14ac:dyDescent="0.2">
      <c r="A518" s="7" t="s">
        <v>264</v>
      </c>
      <c r="B518"/>
      <c r="C518"/>
      <c r="D518"/>
      <c r="E518"/>
      <c r="F518"/>
      <c r="G518"/>
      <c r="H518" s="6"/>
    </row>
    <row r="519" spans="1:19" x14ac:dyDescent="0.2">
      <c r="A519" s="5"/>
      <c r="B519"/>
      <c r="C519"/>
      <c r="D519"/>
      <c r="E519"/>
      <c r="F519"/>
      <c r="G519"/>
      <c r="H519" s="6"/>
      <c r="L519" s="257" t="s">
        <v>146</v>
      </c>
      <c r="M519" s="75" t="s">
        <v>6</v>
      </c>
      <c r="N519" s="75"/>
      <c r="O519" s="257" t="s">
        <v>146</v>
      </c>
      <c r="P519" s="413" t="s">
        <v>6</v>
      </c>
      <c r="R519" s="85" t="s">
        <v>147</v>
      </c>
    </row>
    <row r="520" spans="1:19" x14ac:dyDescent="0.2">
      <c r="A520" s="1071"/>
      <c r="B520" s="1072"/>
      <c r="C520" s="320" t="s">
        <v>6</v>
      </c>
      <c r="D520" s="1037" t="s">
        <v>47</v>
      </c>
      <c r="E520" s="1038"/>
      <c r="F520" s="1039"/>
      <c r="G520" s="1037" t="s">
        <v>13</v>
      </c>
      <c r="H520" s="1040"/>
      <c r="I520" s="662" t="s">
        <v>6</v>
      </c>
      <c r="J520" s="643" t="s">
        <v>47</v>
      </c>
      <c r="K520" s="643" t="s">
        <v>13</v>
      </c>
      <c r="L520" s="257" t="s">
        <v>130</v>
      </c>
      <c r="M520" s="260" t="s">
        <v>148</v>
      </c>
      <c r="N520" s="75"/>
      <c r="O520" s="257" t="s">
        <v>130</v>
      </c>
      <c r="P520" s="414" t="s">
        <v>130</v>
      </c>
      <c r="R520" s="80" t="s">
        <v>130</v>
      </c>
    </row>
    <row r="521" spans="1:19" x14ac:dyDescent="0.2">
      <c r="A521" s="318" t="s">
        <v>149</v>
      </c>
      <c r="B521"/>
      <c r="C521"/>
      <c r="D521"/>
      <c r="E521"/>
      <c r="F521"/>
      <c r="G521"/>
      <c r="H521" s="6"/>
      <c r="J521" s="93"/>
      <c r="L521" s="93">
        <v>18</v>
      </c>
      <c r="M521" s="93">
        <v>16</v>
      </c>
      <c r="O521" s="93">
        <v>21</v>
      </c>
      <c r="P521" s="93">
        <v>881</v>
      </c>
      <c r="R521" s="93">
        <f>61+415+1030</f>
        <v>1506</v>
      </c>
    </row>
    <row r="522" spans="1:19" x14ac:dyDescent="0.2">
      <c r="A522" s="316" t="s">
        <v>150</v>
      </c>
      <c r="B522" t="s">
        <v>135</v>
      </c>
      <c r="C522" s="747" t="e">
        <f>#REF!</f>
        <v>#REF!</v>
      </c>
      <c r="D522" s="747"/>
      <c r="E522" s="747" t="e">
        <f>C522</f>
        <v>#REF!</v>
      </c>
      <c r="F522" s="747"/>
      <c r="G522" s="747" t="e">
        <f>C522</f>
        <v>#REF!</v>
      </c>
      <c r="H522" s="748"/>
      <c r="I522" s="30">
        <v>3.4996</v>
      </c>
      <c r="J522" s="30">
        <f>I522</f>
        <v>3.4996</v>
      </c>
      <c r="K522" s="30">
        <f>J522</f>
        <v>3.4996</v>
      </c>
      <c r="L522" s="80">
        <f>L521*(I522)</f>
        <v>62.992800000000003</v>
      </c>
      <c r="M522" s="80">
        <f>M521*(J522)</f>
        <v>55.993600000000001</v>
      </c>
      <c r="O522" s="80">
        <f>O521*(I522)</f>
        <v>73.491600000000005</v>
      </c>
      <c r="P522" s="80">
        <f>P521*(I522+I524+I525)</f>
        <v>3083.1476000000002</v>
      </c>
      <c r="R522" s="80">
        <f>R521*(J522+J524+J525)</f>
        <v>5270.3976000000002</v>
      </c>
      <c r="S522" s="499">
        <f>P522+R522</f>
        <v>8353.5452000000005</v>
      </c>
    </row>
    <row r="523" spans="1:19" x14ac:dyDescent="0.2">
      <c r="A523" s="316"/>
      <c r="B523"/>
      <c r="C523" s="747"/>
      <c r="D523" s="747"/>
      <c r="E523" s="747"/>
      <c r="F523" s="747"/>
      <c r="G523" s="747"/>
      <c r="H523" s="748"/>
      <c r="M523" s="80"/>
      <c r="O523" s="80"/>
      <c r="P523" s="80">
        <f>P521*I523</f>
        <v>0</v>
      </c>
      <c r="R523" s="80">
        <f>R521*J523</f>
        <v>0</v>
      </c>
    </row>
    <row r="524" spans="1:19" x14ac:dyDescent="0.2">
      <c r="A524" s="318" t="s">
        <v>156</v>
      </c>
      <c r="B524"/>
      <c r="C524" s="747"/>
      <c r="D524" s="747"/>
      <c r="E524" s="747"/>
      <c r="F524" s="747"/>
      <c r="G524" s="747"/>
      <c r="H524" s="748"/>
      <c r="M524" s="80"/>
      <c r="O524" s="80"/>
      <c r="P524" s="80"/>
      <c r="R524" s="80"/>
    </row>
    <row r="525" spans="1:19" x14ac:dyDescent="0.2">
      <c r="A525" s="316" t="s">
        <v>157</v>
      </c>
      <c r="B525" t="s">
        <v>158</v>
      </c>
      <c r="C525" s="747"/>
      <c r="D525" s="747"/>
      <c r="E525" s="747"/>
      <c r="F525" s="747"/>
      <c r="G525" s="747" t="e">
        <f>#REF!</f>
        <v>#REF!</v>
      </c>
      <c r="H525" s="748"/>
      <c r="K525" s="64">
        <v>126.6054</v>
      </c>
      <c r="M525" s="80"/>
      <c r="O525" s="80"/>
      <c r="P525" s="80"/>
      <c r="R525" s="80"/>
    </row>
    <row r="526" spans="1:19" x14ac:dyDescent="0.2">
      <c r="A526" s="316" t="s">
        <v>159</v>
      </c>
      <c r="B526" t="s">
        <v>135</v>
      </c>
      <c r="C526" s="747" t="e">
        <f>#REF!</f>
        <v>#REF!</v>
      </c>
      <c r="D526" s="747"/>
      <c r="E526" s="747" t="e">
        <f>#REF!</f>
        <v>#REF!</v>
      </c>
      <c r="F526" s="747"/>
      <c r="G526" s="747"/>
      <c r="H526" s="748"/>
      <c r="I526" s="30">
        <v>1.7759</v>
      </c>
      <c r="J526" s="64">
        <v>1.7759</v>
      </c>
      <c r="L526" s="80">
        <f>L521*I526</f>
        <v>31.966200000000001</v>
      </c>
      <c r="M526" s="80">
        <f>M521*I526</f>
        <v>28.414400000000001</v>
      </c>
      <c r="O526" s="80">
        <f>O521*I526</f>
        <v>37.293900000000001</v>
      </c>
      <c r="P526" s="102">
        <f>P521*I526</f>
        <v>1564.5679</v>
      </c>
      <c r="R526" s="102">
        <f>R521*J526</f>
        <v>2674.5054</v>
      </c>
    </row>
    <row r="527" spans="1:19" x14ac:dyDescent="0.2">
      <c r="A527" s="318" t="s">
        <v>160</v>
      </c>
      <c r="B527" t="s">
        <v>135</v>
      </c>
      <c r="C527" s="747" t="e">
        <f>#REF!</f>
        <v>#REF!</v>
      </c>
      <c r="D527" s="747"/>
      <c r="E527" s="747" t="e">
        <f>C527</f>
        <v>#REF!</v>
      </c>
      <c r="F527" s="747"/>
      <c r="G527" s="747" t="e">
        <f>C527</f>
        <v>#REF!</v>
      </c>
      <c r="H527" s="748"/>
      <c r="I527" s="30">
        <v>0.58150000000000002</v>
      </c>
      <c r="J527" s="64">
        <f>I527</f>
        <v>0.58150000000000002</v>
      </c>
      <c r="K527" s="64">
        <f>I527</f>
        <v>0.58150000000000002</v>
      </c>
      <c r="L527" s="80">
        <f>L521*I527</f>
        <v>10.467000000000001</v>
      </c>
      <c r="M527" s="80">
        <f>M521*I527</f>
        <v>9.3040000000000003</v>
      </c>
      <c r="O527" s="80">
        <f>O521*I527</f>
        <v>12.211500000000001</v>
      </c>
      <c r="P527" s="102">
        <f>P521*I527</f>
        <v>512.30150000000003</v>
      </c>
      <c r="R527" s="102">
        <f>R521*J527</f>
        <v>875.73900000000003</v>
      </c>
    </row>
    <row r="528" spans="1:19" x14ac:dyDescent="0.2">
      <c r="A528" s="5"/>
      <c r="B528"/>
      <c r="C528" s="747"/>
      <c r="D528" s="747"/>
      <c r="E528" s="747"/>
      <c r="F528" s="747"/>
      <c r="G528" s="747"/>
      <c r="H528" s="748"/>
      <c r="M528" s="80"/>
      <c r="O528" s="80"/>
      <c r="P528" s="80"/>
      <c r="R528" s="80"/>
    </row>
    <row r="529" spans="1:18" x14ac:dyDescent="0.2">
      <c r="A529" s="318" t="s">
        <v>161</v>
      </c>
      <c r="B529"/>
      <c r="C529" s="747"/>
      <c r="D529" s="747"/>
      <c r="E529" s="747"/>
      <c r="F529" s="747"/>
      <c r="G529" s="747"/>
      <c r="H529" s="748"/>
      <c r="M529" s="80"/>
      <c r="O529" s="80"/>
      <c r="P529" s="80"/>
      <c r="R529" s="80"/>
    </row>
    <row r="530" spans="1:18" x14ac:dyDescent="0.2">
      <c r="A530" s="316" t="s">
        <v>162</v>
      </c>
      <c r="B530" t="s">
        <v>158</v>
      </c>
      <c r="C530" s="747"/>
      <c r="D530" s="747"/>
      <c r="E530" s="747"/>
      <c r="F530" s="747"/>
      <c r="G530" s="747">
        <v>267.89999999999998</v>
      </c>
      <c r="H530" s="748"/>
      <c r="K530" s="101">
        <v>267.89999999999998</v>
      </c>
      <c r="M530" s="80"/>
      <c r="O530" s="80"/>
      <c r="P530" s="80">
        <f>P521*I530</f>
        <v>0</v>
      </c>
      <c r="R530" s="80">
        <f>R521*J530</f>
        <v>0</v>
      </c>
    </row>
    <row r="531" spans="1:18" x14ac:dyDescent="0.2">
      <c r="A531" s="316" t="s">
        <v>163</v>
      </c>
      <c r="B531" t="s">
        <v>135</v>
      </c>
      <c r="C531" s="747">
        <v>0.84489999999999998</v>
      </c>
      <c r="D531" s="747"/>
      <c r="E531" s="747">
        <v>0.92589999999999995</v>
      </c>
      <c r="F531" s="747"/>
      <c r="G531" s="747"/>
      <c r="H531" s="748"/>
      <c r="I531" s="30">
        <v>0.84489999999999998</v>
      </c>
      <c r="J531" s="30">
        <v>0.92589999999999995</v>
      </c>
      <c r="L531" s="80">
        <f>L521*I531</f>
        <v>15.2082</v>
      </c>
      <c r="M531" s="80">
        <f>M521*I531</f>
        <v>13.5184</v>
      </c>
      <c r="O531" s="102">
        <f>O521*I531</f>
        <v>17.742899999999999</v>
      </c>
      <c r="P531" s="80">
        <f>P521*I531</f>
        <v>744.3569</v>
      </c>
      <c r="R531" s="80">
        <f>R521*J531</f>
        <v>1394.4053999999999</v>
      </c>
    </row>
    <row r="532" spans="1:18" x14ac:dyDescent="0.2">
      <c r="A532" s="318" t="s">
        <v>164</v>
      </c>
      <c r="B532"/>
      <c r="C532" s="747"/>
      <c r="D532" s="747"/>
      <c r="E532" s="747"/>
      <c r="F532" s="747"/>
      <c r="G532" s="747"/>
      <c r="H532" s="748"/>
      <c r="M532" s="80"/>
      <c r="O532" s="102"/>
      <c r="P532" s="80"/>
      <c r="R532" s="80"/>
    </row>
    <row r="533" spans="1:18" x14ac:dyDescent="0.2">
      <c r="A533" s="316" t="s">
        <v>165</v>
      </c>
      <c r="B533" t="s">
        <v>166</v>
      </c>
      <c r="C533" s="747"/>
      <c r="D533" s="747"/>
      <c r="E533" s="747">
        <v>40.15</v>
      </c>
      <c r="F533" s="747"/>
      <c r="G533" s="747">
        <v>40.15</v>
      </c>
      <c r="H533" s="748"/>
      <c r="J533" s="30">
        <v>40.15</v>
      </c>
      <c r="K533" s="30">
        <v>40.15</v>
      </c>
      <c r="M533" s="80"/>
      <c r="O533" s="102"/>
      <c r="P533" s="80"/>
      <c r="R533" s="102">
        <f>J533*14</f>
        <v>562.1</v>
      </c>
    </row>
    <row r="534" spans="1:18" x14ac:dyDescent="0.2">
      <c r="A534" s="316" t="s">
        <v>167</v>
      </c>
      <c r="B534" t="s">
        <v>135</v>
      </c>
      <c r="C534" s="747">
        <v>0.7732</v>
      </c>
      <c r="D534" s="747"/>
      <c r="E534" s="747"/>
      <c r="F534" s="747"/>
      <c r="G534" s="747"/>
      <c r="H534" s="748"/>
      <c r="I534" s="30">
        <v>0.7732</v>
      </c>
      <c r="L534" s="80">
        <f>L521*I534</f>
        <v>13.9176</v>
      </c>
      <c r="M534" s="80">
        <f>M521*I534</f>
        <v>12.3712</v>
      </c>
      <c r="O534" s="102">
        <f>O521*I534</f>
        <v>16.237200000000001</v>
      </c>
      <c r="P534" s="102">
        <f>P521*I534</f>
        <v>681.18920000000003</v>
      </c>
      <c r="R534" s="80"/>
    </row>
    <row r="535" spans="1:18" x14ac:dyDescent="0.2">
      <c r="A535" s="318" t="s">
        <v>168</v>
      </c>
      <c r="B535"/>
      <c r="C535" s="747"/>
      <c r="D535" s="747"/>
      <c r="E535" s="747"/>
      <c r="F535" s="747"/>
      <c r="G535" s="747"/>
      <c r="H535" s="748"/>
      <c r="M535" s="80"/>
      <c r="O535" s="102"/>
      <c r="P535" s="102"/>
      <c r="R535" s="102">
        <f>R521*J535</f>
        <v>0</v>
      </c>
    </row>
    <row r="536" spans="1:18" x14ac:dyDescent="0.2">
      <c r="A536" s="316" t="s">
        <v>221</v>
      </c>
      <c r="B536" t="s">
        <v>170</v>
      </c>
      <c r="C536" s="747">
        <v>5</v>
      </c>
      <c r="D536" s="747"/>
      <c r="E536" s="747">
        <v>28.72</v>
      </c>
      <c r="F536" s="747"/>
      <c r="G536" s="747">
        <v>28.72</v>
      </c>
      <c r="H536" s="748"/>
      <c r="I536" s="101">
        <v>5</v>
      </c>
      <c r="J536" s="30">
        <v>28.72</v>
      </c>
      <c r="K536" s="30">
        <v>28.72</v>
      </c>
      <c r="L536" s="80">
        <v>5</v>
      </c>
      <c r="M536" s="80">
        <v>5</v>
      </c>
      <c r="O536" s="102">
        <v>5</v>
      </c>
      <c r="P536" s="80">
        <f>5*1</f>
        <v>5</v>
      </c>
      <c r="R536" s="102">
        <f>J536*14</f>
        <v>402.08</v>
      </c>
    </row>
    <row r="537" spans="1:18" x14ac:dyDescent="0.2">
      <c r="A537" s="316" t="s">
        <v>171</v>
      </c>
      <c r="B537" t="s">
        <v>135</v>
      </c>
      <c r="C537" s="747">
        <v>0.45689999999999997</v>
      </c>
      <c r="D537" s="747"/>
      <c r="E537" s="747"/>
      <c r="F537" s="747"/>
      <c r="G537" s="747"/>
      <c r="H537" s="748"/>
      <c r="I537" s="30">
        <v>0.45689999999999997</v>
      </c>
      <c r="L537" s="80">
        <f>L521*I537</f>
        <v>8.2241999999999997</v>
      </c>
      <c r="M537" s="80">
        <f>M521*I537</f>
        <v>7.3103999999999996</v>
      </c>
      <c r="O537" s="102">
        <f>O521*I537</f>
        <v>9.5948999999999991</v>
      </c>
      <c r="P537" s="80">
        <f>P521*I537</f>
        <v>402.52889999999996</v>
      </c>
      <c r="R537" s="103">
        <f>G537</f>
        <v>0</v>
      </c>
    </row>
    <row r="538" spans="1:18" ht="27" customHeight="1" x14ac:dyDescent="0.2">
      <c r="A538" s="716" t="s">
        <v>268</v>
      </c>
      <c r="B538" t="s">
        <v>135</v>
      </c>
      <c r="C538" s="747" t="e">
        <f>#REF!</f>
        <v>#REF!</v>
      </c>
      <c r="D538" s="747"/>
      <c r="E538" s="747" t="e">
        <f>C538</f>
        <v>#REF!</v>
      </c>
      <c r="F538" s="747"/>
      <c r="G538" s="747" t="e">
        <f>C538</f>
        <v>#REF!</v>
      </c>
      <c r="H538" s="748"/>
      <c r="I538" s="64">
        <v>0.19570000000000001</v>
      </c>
      <c r="J538" s="64">
        <f>I538</f>
        <v>0.19570000000000001</v>
      </c>
      <c r="K538" s="64">
        <f>I538</f>
        <v>0.19570000000000001</v>
      </c>
      <c r="L538" s="80">
        <f>-(L522+L526+L527+L531+L534+L536+L537)*25%</f>
        <v>-36.944000000000003</v>
      </c>
      <c r="M538" s="80">
        <f>-(M522+M526+M527+M531+M534+M536+M537)*15%</f>
        <v>-19.786799999999999</v>
      </c>
      <c r="O538" s="102">
        <f>O521*I538</f>
        <v>4.1097000000000001</v>
      </c>
      <c r="P538" s="80">
        <f>P521*I538</f>
        <v>172.41170000000002</v>
      </c>
      <c r="R538" s="102">
        <f>R521*J538</f>
        <v>294.7242</v>
      </c>
    </row>
    <row r="539" spans="1:18" ht="22.5" customHeight="1" x14ac:dyDescent="0.2">
      <c r="A539" s="718" t="s">
        <v>269</v>
      </c>
      <c r="B539" t="s">
        <v>135</v>
      </c>
      <c r="C539" s="747" t="e">
        <f>#REF!</f>
        <v>#REF!</v>
      </c>
      <c r="D539" s="747"/>
      <c r="E539" s="747" t="e">
        <f>C539</f>
        <v>#REF!</v>
      </c>
      <c r="F539" s="747"/>
      <c r="G539" s="747" t="e">
        <f>C539</f>
        <v>#REF!</v>
      </c>
      <c r="H539" s="748"/>
      <c r="I539" s="30">
        <v>1.6000000000000001E-3</v>
      </c>
      <c r="J539" s="64">
        <f>I539</f>
        <v>1.6000000000000001E-3</v>
      </c>
      <c r="K539" s="64">
        <f>I539</f>
        <v>1.6000000000000001E-3</v>
      </c>
      <c r="L539" s="106">
        <f>L517*I539</f>
        <v>0</v>
      </c>
      <c r="M539" s="80"/>
      <c r="O539" s="80">
        <f>-(O522+O526+O527+O531+O534+O536+O537)*5%</f>
        <v>-8.5785999999999998</v>
      </c>
      <c r="P539" s="80">
        <f>P521*I539</f>
        <v>1.4096</v>
      </c>
      <c r="R539" s="107">
        <f>R521*J539</f>
        <v>2.4096000000000002</v>
      </c>
    </row>
    <row r="540" spans="1:18" ht="12.75" customHeight="1" x14ac:dyDescent="0.2">
      <c r="A540" s="5"/>
      <c r="B540"/>
      <c r="C540" s="747"/>
      <c r="D540" s="747"/>
      <c r="E540" s="747"/>
      <c r="F540" s="747"/>
      <c r="G540" s="747"/>
      <c r="H540" s="748"/>
      <c r="I540" s="64"/>
      <c r="J540" s="64"/>
      <c r="K540" s="64"/>
      <c r="L540" s="80">
        <f>L521*I540</f>
        <v>0</v>
      </c>
      <c r="M540" s="80">
        <f>M521*J540</f>
        <v>0</v>
      </c>
      <c r="O540" s="80">
        <f>O521*I540</f>
        <v>0</v>
      </c>
      <c r="P540" s="80">
        <f>P521*I540</f>
        <v>0</v>
      </c>
      <c r="R540" s="107">
        <f>R521*J540</f>
        <v>0</v>
      </c>
    </row>
    <row r="541" spans="1:18" ht="12.75" customHeight="1" x14ac:dyDescent="0.2">
      <c r="A541" s="5"/>
      <c r="B541"/>
      <c r="C541" s="747"/>
      <c r="D541" s="747"/>
      <c r="E541" s="747"/>
      <c r="F541" s="747"/>
      <c r="G541" s="747"/>
      <c r="H541" s="748"/>
      <c r="J541" s="64"/>
      <c r="K541" s="64"/>
      <c r="L541" s="80">
        <f>L521*I541</f>
        <v>0</v>
      </c>
      <c r="M541" s="80">
        <f>M521*I541</f>
        <v>0</v>
      </c>
      <c r="O541" s="80">
        <f>O521*I541</f>
        <v>0</v>
      </c>
      <c r="P541" s="80">
        <f>P521*I541</f>
        <v>0</v>
      </c>
      <c r="R541" s="107">
        <f>R521*J541</f>
        <v>0</v>
      </c>
    </row>
    <row r="542" spans="1:18" ht="12.75" customHeight="1" x14ac:dyDescent="0.2">
      <c r="A542" s="5"/>
      <c r="B542"/>
      <c r="C542" s="747"/>
      <c r="D542" s="747"/>
      <c r="E542" s="747"/>
      <c r="F542" s="747"/>
      <c r="G542" s="747"/>
      <c r="H542" s="748"/>
      <c r="J542" s="64"/>
      <c r="K542" s="64"/>
      <c r="M542" s="80"/>
      <c r="O542" s="80"/>
      <c r="P542" s="80"/>
      <c r="R542" s="107"/>
    </row>
    <row r="543" spans="1:18" x14ac:dyDescent="0.2">
      <c r="A543" s="318" t="s">
        <v>174</v>
      </c>
      <c r="B543"/>
      <c r="C543" s="747"/>
      <c r="D543" s="747"/>
      <c r="E543" s="747"/>
      <c r="F543" s="747"/>
      <c r="G543" s="747"/>
      <c r="H543" s="748"/>
      <c r="I543" s="30">
        <v>0.40039999999999998</v>
      </c>
      <c r="J543" s="64">
        <f>I543</f>
        <v>0.40039999999999998</v>
      </c>
      <c r="K543" s="64">
        <f>I543</f>
        <v>0.40039999999999998</v>
      </c>
      <c r="L543" s="80">
        <f>L521*I543</f>
        <v>7.2071999999999994</v>
      </c>
      <c r="M543" s="80">
        <f>M521*I543</f>
        <v>6.4063999999999997</v>
      </c>
      <c r="O543" s="80">
        <f>O521*I543</f>
        <v>8.4084000000000003</v>
      </c>
      <c r="P543" s="80">
        <f>P521*I543</f>
        <v>352.75239999999997</v>
      </c>
      <c r="R543" s="107">
        <f>R521*J543</f>
        <v>603.00239999999997</v>
      </c>
    </row>
    <row r="544" spans="1:18" x14ac:dyDescent="0.2">
      <c r="A544" s="316" t="s">
        <v>175</v>
      </c>
      <c r="B544" t="s">
        <v>135</v>
      </c>
      <c r="C544" s="747">
        <f>0.1163</f>
        <v>0.1163</v>
      </c>
      <c r="D544" s="747"/>
      <c r="E544" s="747">
        <f>C544</f>
        <v>0.1163</v>
      </c>
      <c r="F544" s="747"/>
      <c r="G544" s="747">
        <f>C544</f>
        <v>0.1163</v>
      </c>
      <c r="H544" s="748"/>
      <c r="I544" s="30">
        <v>0.1163</v>
      </c>
      <c r="J544" s="64">
        <f>I544</f>
        <v>0.1163</v>
      </c>
      <c r="K544" s="64">
        <f>I544</f>
        <v>0.1163</v>
      </c>
      <c r="L544" s="80">
        <f>L521*I544</f>
        <v>2.0933999999999999</v>
      </c>
      <c r="M544" s="80">
        <f>M521*I544</f>
        <v>1.8608</v>
      </c>
      <c r="O544" s="80">
        <f>O521*I544</f>
        <v>2.4422999999999999</v>
      </c>
      <c r="P544" s="80">
        <f>P521*I544</f>
        <v>102.4603</v>
      </c>
      <c r="R544" s="80">
        <f>R521*J544</f>
        <v>175.14779999999999</v>
      </c>
    </row>
    <row r="545" spans="1:18" x14ac:dyDescent="0.2">
      <c r="A545" s="316" t="s">
        <v>176</v>
      </c>
      <c r="B545" t="s">
        <v>135</v>
      </c>
      <c r="C545" s="747">
        <v>2.5000000000000001E-3</v>
      </c>
      <c r="D545" s="747"/>
      <c r="E545" s="747">
        <v>2.5000000000000001E-3</v>
      </c>
      <c r="F545" s="747"/>
      <c r="G545" s="747">
        <f>C545</f>
        <v>2.5000000000000001E-3</v>
      </c>
      <c r="H545" s="748"/>
      <c r="I545" s="30">
        <v>2.5000000000000001E-3</v>
      </c>
      <c r="J545" s="64">
        <f>I545</f>
        <v>2.5000000000000001E-3</v>
      </c>
      <c r="K545" s="64">
        <f>I545</f>
        <v>2.5000000000000001E-3</v>
      </c>
      <c r="L545" s="80">
        <f>$L$141*I545</f>
        <v>1.7500000000000002E-2</v>
      </c>
      <c r="M545" s="80">
        <f>M521*I545</f>
        <v>0.04</v>
      </c>
      <c r="O545" s="80">
        <f>O521*I545</f>
        <v>5.2499999999999998E-2</v>
      </c>
      <c r="P545" s="80">
        <f>P521*I545</f>
        <v>2.2025000000000001</v>
      </c>
      <c r="R545" s="80">
        <f>R521*J545</f>
        <v>3.7650000000000001</v>
      </c>
    </row>
    <row r="546" spans="1:18" x14ac:dyDescent="0.2">
      <c r="A546" s="316" t="s">
        <v>200</v>
      </c>
      <c r="B546" t="s">
        <v>135</v>
      </c>
      <c r="C546" s="747">
        <f>0.1938</f>
        <v>0.1938</v>
      </c>
      <c r="D546" s="747"/>
      <c r="E546" s="747">
        <f>C546</f>
        <v>0.1938</v>
      </c>
      <c r="F546" s="747"/>
      <c r="G546" s="747">
        <f>C546</f>
        <v>0.1938</v>
      </c>
      <c r="H546" s="748"/>
      <c r="I546" s="30">
        <v>0.1938</v>
      </c>
      <c r="J546" s="64">
        <f>I546</f>
        <v>0.1938</v>
      </c>
      <c r="K546" s="64">
        <f>I546</f>
        <v>0.1938</v>
      </c>
      <c r="L546" s="80">
        <f>$L$141*I546</f>
        <v>1.3566</v>
      </c>
      <c r="M546" s="80">
        <f>M521*I546</f>
        <v>3.1008</v>
      </c>
      <c r="O546" s="80">
        <f>O521*I546</f>
        <v>4.0697999999999999</v>
      </c>
      <c r="P546" s="80">
        <f>P521*I546</f>
        <v>170.73779999999999</v>
      </c>
      <c r="R546" s="80">
        <f>R521*J546</f>
        <v>291.86279999999999</v>
      </c>
    </row>
    <row r="547" spans="1:18" x14ac:dyDescent="0.2">
      <c r="A547" s="325" t="s">
        <v>182</v>
      </c>
      <c r="B547"/>
      <c r="C547" s="747"/>
      <c r="D547" s="747"/>
      <c r="E547" s="747"/>
      <c r="F547" s="747"/>
      <c r="G547" s="747"/>
      <c r="H547" s="748"/>
      <c r="I547" s="626"/>
      <c r="J547" s="64"/>
      <c r="K547" s="64"/>
      <c r="M547" s="80"/>
      <c r="O547" s="80">
        <f>O521*I547</f>
        <v>0</v>
      </c>
      <c r="P547" s="80">
        <f>P521*I547</f>
        <v>0</v>
      </c>
      <c r="R547" s="80">
        <f>R521*J547</f>
        <v>0</v>
      </c>
    </row>
    <row r="548" spans="1:18" x14ac:dyDescent="0.2">
      <c r="A548" s="316" t="s">
        <v>211</v>
      </c>
      <c r="B548" t="s">
        <v>135</v>
      </c>
      <c r="C548" s="747" t="e">
        <f>#REF!</f>
        <v>#REF!</v>
      </c>
      <c r="D548" s="747"/>
      <c r="E548" s="747" t="e">
        <f>C548</f>
        <v>#REF!</v>
      </c>
      <c r="F548" s="747"/>
      <c r="G548" s="747" t="e">
        <f>C548</f>
        <v>#REF!</v>
      </c>
      <c r="H548" s="748"/>
      <c r="I548" s="64">
        <v>0.30530000000000002</v>
      </c>
      <c r="J548" s="64">
        <f t="shared" ref="J548:K550" si="15">I548</f>
        <v>0.30530000000000002</v>
      </c>
      <c r="K548" s="64">
        <f t="shared" si="15"/>
        <v>0.30530000000000002</v>
      </c>
      <c r="L548" s="115">
        <f>SUM(L522:L547)</f>
        <v>121.50670000000001</v>
      </c>
      <c r="M548" s="116">
        <f>SUM(M522:M547)</f>
        <v>123.53320000000002</v>
      </c>
      <c r="N548" s="30" t="s">
        <v>180</v>
      </c>
      <c r="O548" s="80">
        <f>O521*I548</f>
        <v>6.4113000000000007</v>
      </c>
      <c r="P548" s="80">
        <f>P521*I548</f>
        <v>268.96930000000003</v>
      </c>
      <c r="R548" s="80">
        <f>R521*J548</f>
        <v>459.78180000000003</v>
      </c>
    </row>
    <row r="549" spans="1:18" x14ac:dyDescent="0.2">
      <c r="A549" s="316" t="s">
        <v>212</v>
      </c>
      <c r="B549" t="s">
        <v>135</v>
      </c>
      <c r="C549" s="747" t="e">
        <f>#REF!</f>
        <v>#REF!</v>
      </c>
      <c r="D549" s="747"/>
      <c r="E549" s="747" t="e">
        <f>C549</f>
        <v>#REF!</v>
      </c>
      <c r="F549" s="747"/>
      <c r="G549" s="747" t="e">
        <f>C549</f>
        <v>#REF!</v>
      </c>
      <c r="H549" s="748"/>
      <c r="I549" s="30">
        <v>4.3E-3</v>
      </c>
      <c r="J549" s="64">
        <f t="shared" si="15"/>
        <v>4.3E-3</v>
      </c>
      <c r="K549" s="64">
        <f t="shared" si="15"/>
        <v>4.3E-3</v>
      </c>
      <c r="N549" s="30" t="s">
        <v>183</v>
      </c>
      <c r="O549" s="80">
        <f>O521*I549</f>
        <v>9.0300000000000005E-2</v>
      </c>
      <c r="P549" s="80">
        <f>P521*I549</f>
        <v>3.7883</v>
      </c>
      <c r="R549" s="80">
        <f>R521*J549</f>
        <v>6.4758000000000004</v>
      </c>
    </row>
    <row r="550" spans="1:18" x14ac:dyDescent="0.2">
      <c r="A550" s="316" t="s">
        <v>213</v>
      </c>
      <c r="B550" t="s">
        <v>135</v>
      </c>
      <c r="C550" s="747" t="e">
        <f>#REF!</f>
        <v>#REF!</v>
      </c>
      <c r="D550" s="747"/>
      <c r="E550" s="747" t="e">
        <f>C550</f>
        <v>#REF!</v>
      </c>
      <c r="F550" s="747"/>
      <c r="G550" s="747" t="e">
        <f>C550</f>
        <v>#REF!</v>
      </c>
      <c r="H550" s="748"/>
      <c r="I550" s="30">
        <v>3.4000000000000002E-2</v>
      </c>
      <c r="J550" s="64">
        <f t="shared" si="15"/>
        <v>3.4000000000000002E-2</v>
      </c>
      <c r="K550" s="64">
        <f t="shared" si="15"/>
        <v>3.4000000000000002E-2</v>
      </c>
      <c r="N550" s="30" t="s">
        <v>186</v>
      </c>
      <c r="O550" s="80">
        <f>O521*I550</f>
        <v>0.71400000000000008</v>
      </c>
      <c r="P550" s="80">
        <f>P521*I550</f>
        <v>29.954000000000001</v>
      </c>
      <c r="R550" s="80">
        <f>R521*J550</f>
        <v>51.204000000000001</v>
      </c>
    </row>
    <row r="551" spans="1:18" x14ac:dyDescent="0.2">
      <c r="A551" s="316" t="s">
        <v>214</v>
      </c>
      <c r="B551" t="s">
        <v>215</v>
      </c>
      <c r="C551" s="749">
        <v>0.12</v>
      </c>
      <c r="D551" s="749"/>
      <c r="E551" s="749">
        <v>0.12</v>
      </c>
      <c r="F551" s="749"/>
      <c r="G551" s="749">
        <v>0.12</v>
      </c>
      <c r="H551" s="748"/>
      <c r="I551" s="64"/>
      <c r="J551" s="64"/>
      <c r="K551" s="64"/>
      <c r="L551" s="107" t="s">
        <v>182</v>
      </c>
      <c r="O551" s="80"/>
      <c r="P551" s="80"/>
      <c r="R551" s="80">
        <f>R521*J551</f>
        <v>0</v>
      </c>
    </row>
    <row r="552" spans="1:18" x14ac:dyDescent="0.2">
      <c r="A552" s="327" t="s">
        <v>177</v>
      </c>
      <c r="B552" s="60" t="s">
        <v>135</v>
      </c>
      <c r="C552" s="328">
        <v>0.40039999999999998</v>
      </c>
      <c r="D552" s="328"/>
      <c r="E552" s="328">
        <v>0.40039999999999998</v>
      </c>
      <c r="F552" s="328"/>
      <c r="G552" s="329">
        <f>C552</f>
        <v>0.40039999999999998</v>
      </c>
      <c r="H552" s="330"/>
      <c r="I552" s="64"/>
      <c r="J552" s="64"/>
      <c r="K552" s="64"/>
      <c r="N552" s="30" t="s">
        <v>191</v>
      </c>
      <c r="O552" s="121">
        <f>(SUM(O523,O531:O538))*12%</f>
        <v>6.3221640000000008</v>
      </c>
      <c r="P552" s="121">
        <f>(SUM(P523,P531:P538))*12%</f>
        <v>240.65840400000002</v>
      </c>
      <c r="R552" s="121">
        <f>(SUM(R523,R531:R538))*12%</f>
        <v>318.39715200000001</v>
      </c>
    </row>
    <row r="553" spans="1:18" ht="13.5" thickBot="1" x14ac:dyDescent="0.25">
      <c r="A553" s="714" t="s">
        <v>178</v>
      </c>
      <c r="B553" s="208"/>
      <c r="C553" s="209">
        <f>3.4996+1.7759+0.5815+0.8449+0.7732+0.4569+0.1957+0.0016+0.1163+0.0025+0.1938+0.3053+0.0043+0.034+0.4004</f>
        <v>9.185900000000002</v>
      </c>
      <c r="D553" s="210"/>
      <c r="E553" s="209">
        <f>3.4996+1.7759+0.5815+0.9259+0.1957+0.0016+0.1163+0.0025+0.1938+0.3053+0.0043+0.034+0.4004</f>
        <v>8.0367999999999995</v>
      </c>
      <c r="F553" s="210"/>
      <c r="G553" s="209">
        <f>3.4996+0.5815+0.1957+0.0016+0.1163+0.0025+0.1938+0.3053+0.0043+0.034+0.4004</f>
        <v>5.3350000000000009</v>
      </c>
      <c r="H553" s="715"/>
      <c r="I553" s="64"/>
      <c r="J553" s="64"/>
      <c r="K553" s="64"/>
      <c r="O553" s="116">
        <f>SUM(O522:O552)</f>
        <v>195.61386400000004</v>
      </c>
      <c r="P553" s="116">
        <f>SUM(P522:P552)</f>
        <v>8338.4363039999989</v>
      </c>
      <c r="R553" s="116">
        <f>SUM(R522:R552)</f>
        <v>13385.997952000002</v>
      </c>
    </row>
    <row r="554" spans="1:18" ht="14.25" thickTop="1" thickBot="1" x14ac:dyDescent="0.25">
      <c r="A554" s="331" t="s">
        <v>179</v>
      </c>
      <c r="B554" s="332" t="s">
        <v>166</v>
      </c>
      <c r="C554" s="336">
        <f>C536</f>
        <v>5</v>
      </c>
      <c r="D554" s="336"/>
      <c r="E554" s="336">
        <f>E533+E536</f>
        <v>68.87</v>
      </c>
      <c r="F554" s="336"/>
      <c r="G554" s="336">
        <f>G533+G536</f>
        <v>68.87</v>
      </c>
      <c r="H554" s="335"/>
      <c r="P554" s="80"/>
      <c r="R554" s="80"/>
    </row>
    <row r="555" spans="1:18" ht="14.25" thickTop="1" thickBot="1" x14ac:dyDescent="0.25">
      <c r="A555" s="713" t="s">
        <v>216</v>
      </c>
      <c r="B555" s="337" t="s">
        <v>158</v>
      </c>
      <c r="C555" s="333"/>
      <c r="D555" s="333"/>
      <c r="E555" s="333"/>
      <c r="F555" s="333"/>
      <c r="G555" s="336">
        <f>G530</f>
        <v>267.89999999999998</v>
      </c>
      <c r="H555" s="335"/>
      <c r="P555" s="80"/>
      <c r="R555" s="80"/>
    </row>
    <row r="556" spans="1:18" ht="13.5" thickTop="1" x14ac:dyDescent="0.2">
      <c r="A556" s="5"/>
      <c r="B556"/>
      <c r="C556"/>
      <c r="D556"/>
      <c r="E556"/>
      <c r="F556"/>
      <c r="G556"/>
      <c r="H556" s="6"/>
      <c r="P556" s="80"/>
      <c r="R556" s="80"/>
    </row>
    <row r="557" spans="1:18" x14ac:dyDescent="0.2">
      <c r="A557" s="5" t="s">
        <v>5</v>
      </c>
      <c r="B557" t="s">
        <v>218</v>
      </c>
      <c r="C557"/>
      <c r="D557"/>
      <c r="E557" t="s">
        <v>193</v>
      </c>
      <c r="F557" t="s">
        <v>193</v>
      </c>
      <c r="G557"/>
      <c r="H557" s="6"/>
      <c r="P557" s="80"/>
      <c r="R557" s="80"/>
    </row>
    <row r="558" spans="1:18" x14ac:dyDescent="0.2">
      <c r="A558" s="5"/>
      <c r="B558"/>
      <c r="C558"/>
      <c r="D558"/>
      <c r="E558"/>
      <c r="F558" t="s">
        <v>193</v>
      </c>
      <c r="G558"/>
      <c r="H558" s="6"/>
    </row>
    <row r="559" spans="1:18" x14ac:dyDescent="0.2">
      <c r="A559" s="5"/>
      <c r="B559"/>
      <c r="C559"/>
      <c r="D559"/>
      <c r="E559"/>
      <c r="F559" t="s">
        <v>193</v>
      </c>
      <c r="G559"/>
      <c r="H559" s="6"/>
    </row>
    <row r="560" spans="1:18" x14ac:dyDescent="0.2">
      <c r="A560" s="5"/>
      <c r="B560"/>
      <c r="C560"/>
      <c r="D560"/>
      <c r="E560"/>
      <c r="F560"/>
      <c r="G560"/>
      <c r="H560" s="6"/>
    </row>
    <row r="561" spans="1:19" x14ac:dyDescent="0.2">
      <c r="A561" s="5" t="s">
        <v>14</v>
      </c>
      <c r="B561" t="s">
        <v>219</v>
      </c>
      <c r="C561"/>
      <c r="D561"/>
      <c r="E561" t="s">
        <v>195</v>
      </c>
      <c r="F561" t="s">
        <v>195</v>
      </c>
      <c r="G561"/>
      <c r="H561" s="6"/>
    </row>
    <row r="562" spans="1:19" ht="13.5" thickBot="1" x14ac:dyDescent="0.25">
      <c r="A562" s="18" t="s">
        <v>217</v>
      </c>
      <c r="B562" s="8" t="s">
        <v>12</v>
      </c>
      <c r="C562" s="8"/>
      <c r="D562" s="8"/>
      <c r="E562" s="8" t="s">
        <v>197</v>
      </c>
      <c r="F562" s="8" t="s">
        <v>197</v>
      </c>
      <c r="G562" s="8"/>
      <c r="H562" s="9"/>
    </row>
    <row r="563" spans="1:19" x14ac:dyDescent="0.2">
      <c r="A563" s="313"/>
      <c r="B563" s="314"/>
      <c r="C563" s="314"/>
      <c r="D563" s="314"/>
      <c r="E563" s="314"/>
      <c r="F563" s="314"/>
      <c r="G563" s="314"/>
      <c r="H563" s="315"/>
    </row>
    <row r="564" spans="1:19" x14ac:dyDescent="0.2">
      <c r="A564" s="316"/>
      <c r="H564" s="317"/>
    </row>
    <row r="565" spans="1:19" x14ac:dyDescent="0.2">
      <c r="A565" s="316"/>
      <c r="H565" s="317"/>
    </row>
    <row r="566" spans="1:19" x14ac:dyDescent="0.2">
      <c r="A566" s="316"/>
      <c r="H566" s="317"/>
    </row>
    <row r="567" spans="1:19" x14ac:dyDescent="0.2">
      <c r="A567" s="316"/>
      <c r="H567" s="317"/>
    </row>
    <row r="568" spans="1:19" x14ac:dyDescent="0.2">
      <c r="A568" s="318" t="s">
        <v>60</v>
      </c>
      <c r="H568" s="317"/>
    </row>
    <row r="569" spans="1:19" x14ac:dyDescent="0.2">
      <c r="A569" s="319" t="s">
        <v>315</v>
      </c>
      <c r="H569" s="317"/>
    </row>
    <row r="570" spans="1:19" x14ac:dyDescent="0.2">
      <c r="A570" s="319"/>
      <c r="H570" s="317"/>
      <c r="L570" s="257" t="s">
        <v>146</v>
      </c>
      <c r="M570" s="75" t="s">
        <v>6</v>
      </c>
      <c r="N570" s="75"/>
      <c r="O570" s="257" t="s">
        <v>146</v>
      </c>
      <c r="P570" s="413" t="s">
        <v>6</v>
      </c>
      <c r="R570" s="85" t="s">
        <v>147</v>
      </c>
    </row>
    <row r="571" spans="1:19" ht="21.75" customHeight="1" x14ac:dyDescent="0.2">
      <c r="A571" s="1068" t="s">
        <v>318</v>
      </c>
      <c r="B571" s="1069"/>
      <c r="C571" s="193" t="s">
        <v>6</v>
      </c>
      <c r="D571" s="987" t="s">
        <v>47</v>
      </c>
      <c r="E571" s="988"/>
      <c r="F571" s="989"/>
      <c r="G571" s="987" t="s">
        <v>13</v>
      </c>
      <c r="H571" s="1070"/>
      <c r="I571" s="662" t="s">
        <v>6</v>
      </c>
      <c r="J571" s="643" t="s">
        <v>47</v>
      </c>
      <c r="K571" s="643" t="s">
        <v>13</v>
      </c>
      <c r="L571" s="257" t="s">
        <v>130</v>
      </c>
      <c r="M571" s="260" t="s">
        <v>148</v>
      </c>
      <c r="N571" s="75"/>
      <c r="O571" s="257" t="s">
        <v>130</v>
      </c>
      <c r="P571" s="414" t="s">
        <v>130</v>
      </c>
      <c r="R571" s="80" t="s">
        <v>130</v>
      </c>
    </row>
    <row r="572" spans="1:19" x14ac:dyDescent="0.2">
      <c r="A572" s="318" t="s">
        <v>149</v>
      </c>
      <c r="H572" s="317"/>
      <c r="J572" s="93"/>
      <c r="L572" s="93">
        <v>18</v>
      </c>
      <c r="M572" s="93">
        <v>16</v>
      </c>
      <c r="O572" s="93">
        <v>21</v>
      </c>
      <c r="P572" s="93">
        <v>35096</v>
      </c>
      <c r="R572" s="93">
        <v>7425</v>
      </c>
    </row>
    <row r="573" spans="1:19" x14ac:dyDescent="0.2">
      <c r="A573" s="316" t="s">
        <v>150</v>
      </c>
      <c r="B573" s="30" t="s">
        <v>135</v>
      </c>
      <c r="C573" s="64" t="e">
        <f>#REF!</f>
        <v>#REF!</v>
      </c>
      <c r="D573" s="64"/>
      <c r="E573" s="64" t="e">
        <f>C573</f>
        <v>#REF!</v>
      </c>
      <c r="F573" s="64"/>
      <c r="G573" s="64" t="e">
        <f>C573</f>
        <v>#REF!</v>
      </c>
      <c r="H573" s="322"/>
      <c r="I573" s="30">
        <v>3.5813999999999999</v>
      </c>
      <c r="J573" s="30">
        <f>I573</f>
        <v>3.5813999999999999</v>
      </c>
      <c r="K573" s="30">
        <f>J573</f>
        <v>3.5813999999999999</v>
      </c>
      <c r="L573" s="80">
        <f>L572*(I573)</f>
        <v>64.465199999999996</v>
      </c>
      <c r="M573" s="80">
        <f>M572*(J573)</f>
        <v>57.302399999999999</v>
      </c>
      <c r="O573" s="80">
        <f>O572*(I573)</f>
        <v>75.209400000000002</v>
      </c>
      <c r="P573" s="80">
        <f>P572*(I573+I575+I576)</f>
        <v>125692.8144</v>
      </c>
      <c r="R573" s="80">
        <f>R572*(J573+J575+J576)</f>
        <v>26591.895</v>
      </c>
      <c r="S573" s="499">
        <f>P573+R573</f>
        <v>152284.70939999999</v>
      </c>
    </row>
    <row r="574" spans="1:19" x14ac:dyDescent="0.2">
      <c r="A574" s="316"/>
      <c r="C574" s="550"/>
      <c r="D574" s="550"/>
      <c r="E574" s="550"/>
      <c r="F574" s="550"/>
      <c r="G574" s="550"/>
      <c r="H574" s="551"/>
      <c r="M574" s="80"/>
      <c r="O574" s="80"/>
      <c r="P574" s="80">
        <f>P572*I574</f>
        <v>0</v>
      </c>
      <c r="R574" s="80">
        <f>R572*J574</f>
        <v>0</v>
      </c>
    </row>
    <row r="575" spans="1:19" x14ac:dyDescent="0.2">
      <c r="A575" s="318" t="s">
        <v>156</v>
      </c>
      <c r="C575" s="64"/>
      <c r="D575" s="64"/>
      <c r="E575" s="64"/>
      <c r="F575" s="64"/>
      <c r="G575" s="64"/>
      <c r="H575" s="551"/>
      <c r="M575" s="80"/>
      <c r="O575" s="80"/>
      <c r="P575" s="80"/>
      <c r="R575" s="80"/>
    </row>
    <row r="576" spans="1:19" x14ac:dyDescent="0.2">
      <c r="A576" s="316" t="s">
        <v>157</v>
      </c>
      <c r="B576" s="30" t="s">
        <v>158</v>
      </c>
      <c r="C576" s="64"/>
      <c r="D576" s="64"/>
      <c r="E576" s="64"/>
      <c r="F576" s="64"/>
      <c r="G576" s="64" t="e">
        <f>#REF!</f>
        <v>#REF!</v>
      </c>
      <c r="H576" s="551"/>
      <c r="K576" s="64">
        <v>117.9171</v>
      </c>
      <c r="M576" s="80"/>
      <c r="O576" s="80"/>
      <c r="P576" s="80"/>
      <c r="R576" s="80"/>
    </row>
    <row r="577" spans="1:18" x14ac:dyDescent="0.2">
      <c r="A577" s="316" t="s">
        <v>159</v>
      </c>
      <c r="B577" s="30" t="s">
        <v>135</v>
      </c>
      <c r="C577" s="64" t="e">
        <f>#REF!</f>
        <v>#REF!</v>
      </c>
      <c r="D577" s="64"/>
      <c r="E577" s="64" t="e">
        <f>#REF!</f>
        <v>#REF!</v>
      </c>
      <c r="F577" s="64"/>
      <c r="G577" s="64"/>
      <c r="H577" s="551"/>
      <c r="I577" s="30">
        <v>1.1999</v>
      </c>
      <c r="J577" s="64">
        <v>1.1999</v>
      </c>
      <c r="L577" s="80">
        <f>L572*I577</f>
        <v>21.598199999999999</v>
      </c>
      <c r="M577" s="80">
        <f>M572*I577</f>
        <v>19.198399999999999</v>
      </c>
      <c r="O577" s="80">
        <f>O572*I577</f>
        <v>25.197900000000001</v>
      </c>
      <c r="P577" s="102">
        <f>P572*I577</f>
        <v>42111.690399999999</v>
      </c>
      <c r="R577" s="102">
        <f>R572*J577</f>
        <v>8909.2574999999997</v>
      </c>
    </row>
    <row r="578" spans="1:18" x14ac:dyDescent="0.2">
      <c r="A578" s="318" t="s">
        <v>160</v>
      </c>
      <c r="B578" s="30" t="s">
        <v>135</v>
      </c>
      <c r="C578" s="64" t="e">
        <f>#REF!</f>
        <v>#REF!</v>
      </c>
      <c r="D578" s="64"/>
      <c r="E578" s="64" t="e">
        <f>C578</f>
        <v>#REF!</v>
      </c>
      <c r="F578" s="64"/>
      <c r="G578" s="64" t="e">
        <f>C578</f>
        <v>#REF!</v>
      </c>
      <c r="H578" s="551"/>
      <c r="I578" s="30">
        <v>0.54610000000000003</v>
      </c>
      <c r="J578" s="64">
        <f>I578</f>
        <v>0.54610000000000003</v>
      </c>
      <c r="K578" s="64">
        <f>I578</f>
        <v>0.54610000000000003</v>
      </c>
      <c r="L578" s="80">
        <f>L572*I578</f>
        <v>9.8298000000000005</v>
      </c>
      <c r="M578" s="80">
        <f>M572*I578</f>
        <v>8.7376000000000005</v>
      </c>
      <c r="O578" s="80">
        <f>O572*I578</f>
        <v>11.4681</v>
      </c>
      <c r="P578" s="102">
        <f>P572*I578</f>
        <v>19165.925600000002</v>
      </c>
      <c r="R578" s="102">
        <f>R572*J578</f>
        <v>4054.7925</v>
      </c>
    </row>
    <row r="579" spans="1:18" x14ac:dyDescent="0.2">
      <c r="A579" s="316"/>
      <c r="C579" s="64"/>
      <c r="D579" s="64"/>
      <c r="E579" s="64"/>
      <c r="F579" s="64"/>
      <c r="G579" s="64"/>
      <c r="H579" s="322"/>
      <c r="M579" s="80"/>
      <c r="O579" s="80"/>
      <c r="P579" s="80"/>
      <c r="R579" s="80"/>
    </row>
    <row r="580" spans="1:18" x14ac:dyDescent="0.2">
      <c r="A580" s="318" t="s">
        <v>161</v>
      </c>
      <c r="C580" s="64"/>
      <c r="D580" s="64"/>
      <c r="E580" s="64"/>
      <c r="F580" s="64"/>
      <c r="G580" s="64"/>
      <c r="H580" s="322"/>
      <c r="M580" s="80"/>
      <c r="O580" s="80"/>
      <c r="P580" s="80"/>
      <c r="R580" s="80"/>
    </row>
    <row r="581" spans="1:18" x14ac:dyDescent="0.2">
      <c r="A581" s="316" t="s">
        <v>162</v>
      </c>
      <c r="B581" s="30" t="s">
        <v>158</v>
      </c>
      <c r="C581" s="64"/>
      <c r="D581" s="64"/>
      <c r="E581" s="64"/>
      <c r="F581" s="64"/>
      <c r="G581" s="101">
        <v>267.89999999999998</v>
      </c>
      <c r="H581" s="322"/>
      <c r="K581" s="101">
        <v>267.89999999999998</v>
      </c>
      <c r="M581" s="80"/>
      <c r="O581" s="80"/>
      <c r="P581" s="80">
        <f>P572*I581</f>
        <v>0</v>
      </c>
      <c r="R581" s="80">
        <f>R572*J581</f>
        <v>0</v>
      </c>
    </row>
    <row r="582" spans="1:18" x14ac:dyDescent="0.2">
      <c r="A582" s="316" t="s">
        <v>163</v>
      </c>
      <c r="B582" s="30" t="s">
        <v>135</v>
      </c>
      <c r="C582" s="64">
        <v>0.84489999999999998</v>
      </c>
      <c r="D582" s="323"/>
      <c r="E582" s="378">
        <v>0.92589999999999995</v>
      </c>
      <c r="F582" s="64"/>
      <c r="G582" s="64"/>
      <c r="H582" s="322"/>
      <c r="I582" s="30">
        <v>0.84489999999999998</v>
      </c>
      <c r="J582" s="30">
        <v>0.92589999999999995</v>
      </c>
      <c r="L582" s="80">
        <f>L572*I582</f>
        <v>15.2082</v>
      </c>
      <c r="M582" s="80">
        <f>M572*I582</f>
        <v>13.5184</v>
      </c>
      <c r="O582" s="102">
        <f>O572*I582</f>
        <v>17.742899999999999</v>
      </c>
      <c r="P582" s="80">
        <f>P572*I582</f>
        <v>29652.610399999998</v>
      </c>
      <c r="R582" s="80">
        <f>R572*J582</f>
        <v>6874.8074999999999</v>
      </c>
    </row>
    <row r="583" spans="1:18" x14ac:dyDescent="0.2">
      <c r="A583" s="318" t="s">
        <v>164</v>
      </c>
      <c r="C583" s="64"/>
      <c r="D583" s="323"/>
      <c r="E583" s="64"/>
      <c r="F583" s="64"/>
      <c r="G583" s="64"/>
      <c r="H583" s="322"/>
      <c r="M583" s="80"/>
      <c r="O583" s="102"/>
      <c r="P583" s="80"/>
      <c r="R583" s="80"/>
    </row>
    <row r="584" spans="1:18" x14ac:dyDescent="0.2">
      <c r="A584" s="316" t="s">
        <v>165</v>
      </c>
      <c r="B584" s="30" t="s">
        <v>166</v>
      </c>
      <c r="C584" s="64"/>
      <c r="D584" s="323"/>
      <c r="E584" s="377">
        <v>40.15</v>
      </c>
      <c r="F584" s="101"/>
      <c r="G584" s="377">
        <v>40.15</v>
      </c>
      <c r="H584" s="322"/>
      <c r="J584" s="30">
        <v>40.15</v>
      </c>
      <c r="K584" s="30">
        <v>40.15</v>
      </c>
      <c r="M584" s="80"/>
      <c r="O584" s="102"/>
      <c r="P584" s="80"/>
      <c r="R584" s="102">
        <f>J584*64</f>
        <v>2569.6</v>
      </c>
    </row>
    <row r="585" spans="1:18" x14ac:dyDescent="0.2">
      <c r="A585" s="316" t="s">
        <v>167</v>
      </c>
      <c r="B585" s="30" t="s">
        <v>135</v>
      </c>
      <c r="C585" s="64">
        <v>0.7732</v>
      </c>
      <c r="D585" s="323"/>
      <c r="E585" s="101"/>
      <c r="F585" s="101"/>
      <c r="G585" s="101"/>
      <c r="H585" s="322"/>
      <c r="I585" s="30">
        <v>0.7732</v>
      </c>
      <c r="L585" s="80">
        <f>L572*I585</f>
        <v>13.9176</v>
      </c>
      <c r="M585" s="80">
        <f>M572*I585</f>
        <v>12.3712</v>
      </c>
      <c r="O585" s="102">
        <f>O572*I585</f>
        <v>16.237200000000001</v>
      </c>
      <c r="P585" s="102">
        <f>P572*I585</f>
        <v>27136.227200000001</v>
      </c>
      <c r="R585" s="80"/>
    </row>
    <row r="586" spans="1:18" x14ac:dyDescent="0.2">
      <c r="A586" s="318" t="s">
        <v>168</v>
      </c>
      <c r="D586" s="323"/>
      <c r="E586" s="101"/>
      <c r="F586" s="101"/>
      <c r="G586" s="101"/>
      <c r="H586" s="322"/>
      <c r="M586" s="80"/>
      <c r="O586" s="102"/>
      <c r="P586" s="102"/>
      <c r="R586" s="102">
        <f>R572*J586</f>
        <v>0</v>
      </c>
    </row>
    <row r="587" spans="1:18" x14ac:dyDescent="0.2">
      <c r="A587" s="316" t="s">
        <v>221</v>
      </c>
      <c r="B587" s="30" t="s">
        <v>170</v>
      </c>
      <c r="C587" s="64">
        <v>5</v>
      </c>
      <c r="D587" s="323"/>
      <c r="E587" s="377">
        <v>28.72</v>
      </c>
      <c r="F587" s="101"/>
      <c r="G587" s="377">
        <v>28.72</v>
      </c>
      <c r="H587" s="322"/>
      <c r="I587" s="101">
        <v>5</v>
      </c>
      <c r="J587" s="30">
        <v>28.72</v>
      </c>
      <c r="K587" s="30">
        <v>28.72</v>
      </c>
      <c r="L587" s="80">
        <v>5</v>
      </c>
      <c r="M587" s="80">
        <v>5</v>
      </c>
      <c r="O587" s="102">
        <v>5</v>
      </c>
      <c r="P587" s="80">
        <f>5*1</f>
        <v>5</v>
      </c>
      <c r="R587" s="102">
        <f>J587*64</f>
        <v>1838.08</v>
      </c>
    </row>
    <row r="588" spans="1:18" x14ac:dyDescent="0.2">
      <c r="A588" s="316" t="s">
        <v>171</v>
      </c>
      <c r="B588" s="30" t="s">
        <v>135</v>
      </c>
      <c r="C588" s="64">
        <v>0.45689999999999997</v>
      </c>
      <c r="D588" s="64"/>
      <c r="E588" s="64"/>
      <c r="F588" s="64"/>
      <c r="G588" s="64"/>
      <c r="H588" s="322"/>
      <c r="I588" s="30">
        <v>0.45689999999999997</v>
      </c>
      <c r="L588" s="80">
        <f>L572*I588</f>
        <v>8.2241999999999997</v>
      </c>
      <c r="M588" s="80">
        <f>M572*I588</f>
        <v>7.3103999999999996</v>
      </c>
      <c r="O588" s="102">
        <f>O572*I588</f>
        <v>9.5948999999999991</v>
      </c>
      <c r="P588" s="80">
        <f>P572*I588</f>
        <v>16035.362399999998</v>
      </c>
      <c r="R588" s="103">
        <f>G588</f>
        <v>0</v>
      </c>
    </row>
    <row r="589" spans="1:18" x14ac:dyDescent="0.2">
      <c r="A589" s="716" t="s">
        <v>268</v>
      </c>
      <c r="B589" s="717" t="s">
        <v>135</v>
      </c>
      <c r="C589" s="750" t="e">
        <f>#REF!</f>
        <v>#REF!</v>
      </c>
      <c r="D589"/>
      <c r="E589" s="750" t="e">
        <f>C589</f>
        <v>#REF!</v>
      </c>
      <c r="F589"/>
      <c r="G589" s="750" t="e">
        <f>C589</f>
        <v>#REF!</v>
      </c>
      <c r="H589" s="551"/>
      <c r="I589" s="64">
        <v>0.1192</v>
      </c>
      <c r="J589" s="64">
        <f>I589</f>
        <v>0.1192</v>
      </c>
      <c r="K589" s="64">
        <f>I589</f>
        <v>0.1192</v>
      </c>
      <c r="L589" s="80">
        <f>-(L573+L577+L578+L582+L585+L587+L588)*25%</f>
        <v>-34.5608</v>
      </c>
      <c r="M589" s="80">
        <f>-(M573+M577+M578+M582+M585+M587+M588)*15%</f>
        <v>-18.51576</v>
      </c>
      <c r="O589" s="102">
        <f>O572*I589</f>
        <v>2.5032000000000001</v>
      </c>
      <c r="P589" s="80">
        <f>P572*I589</f>
        <v>4183.4431999999997</v>
      </c>
      <c r="R589" s="102">
        <f>R572*J589</f>
        <v>885.06000000000006</v>
      </c>
    </row>
    <row r="590" spans="1:18" x14ac:dyDescent="0.2">
      <c r="A590" s="718" t="s">
        <v>269</v>
      </c>
      <c r="B590" s="30" t="s">
        <v>135</v>
      </c>
      <c r="C590" s="23" t="e">
        <f>#REF!</f>
        <v>#REF!</v>
      </c>
      <c r="D590"/>
      <c r="E590" s="2" t="e">
        <f>C590</f>
        <v>#REF!</v>
      </c>
      <c r="F590"/>
      <c r="G590" s="2" t="e">
        <f>C590</f>
        <v>#REF!</v>
      </c>
      <c r="H590" s="551"/>
      <c r="I590" s="30">
        <v>1E-3</v>
      </c>
      <c r="J590" s="64">
        <f>I590</f>
        <v>1E-3</v>
      </c>
      <c r="K590" s="64">
        <f>I590</f>
        <v>1E-3</v>
      </c>
      <c r="L590" s="106">
        <f>L568*I590</f>
        <v>0</v>
      </c>
      <c r="M590" s="80"/>
      <c r="O590" s="80">
        <f>-(O573+O577+O578+O582+O585+O587+O588)*5%</f>
        <v>-8.0225200000000001</v>
      </c>
      <c r="P590" s="80">
        <f>P572*I590</f>
        <v>35.096000000000004</v>
      </c>
      <c r="R590" s="107">
        <f>R572*J590</f>
        <v>7.4249999999999998</v>
      </c>
    </row>
    <row r="591" spans="1:18" x14ac:dyDescent="0.2">
      <c r="A591" s="318" t="s">
        <v>174</v>
      </c>
      <c r="C591" s="64"/>
      <c r="D591" s="64"/>
      <c r="E591" s="64"/>
      <c r="F591" s="64"/>
      <c r="G591" s="64"/>
      <c r="H591" s="322"/>
      <c r="I591" s="64"/>
      <c r="J591" s="64"/>
      <c r="K591" s="64"/>
      <c r="L591" s="80">
        <f>L572*I591</f>
        <v>0</v>
      </c>
      <c r="M591" s="80">
        <f>M572*J591</f>
        <v>0</v>
      </c>
      <c r="O591" s="80">
        <f>O572*I591</f>
        <v>0</v>
      </c>
      <c r="P591" s="80">
        <f>P572*I591</f>
        <v>0</v>
      </c>
      <c r="R591" s="107">
        <f>R572*J591</f>
        <v>0</v>
      </c>
    </row>
    <row r="592" spans="1:18" x14ac:dyDescent="0.2">
      <c r="A592" s="316" t="s">
        <v>175</v>
      </c>
      <c r="B592" s="30" t="s">
        <v>135</v>
      </c>
      <c r="C592" s="64">
        <f>(0.0454+0.0709+0.0381)</f>
        <v>0.15440000000000001</v>
      </c>
      <c r="D592" s="64"/>
      <c r="E592" s="64">
        <f>C592</f>
        <v>0.15440000000000001</v>
      </c>
      <c r="F592" s="64"/>
      <c r="G592" s="64">
        <f>C592</f>
        <v>0.15440000000000001</v>
      </c>
      <c r="H592" s="324"/>
      <c r="J592" s="64"/>
      <c r="K592" s="64"/>
      <c r="L592" s="80">
        <f>L572*I592</f>
        <v>0</v>
      </c>
      <c r="M592" s="80">
        <f>M572*I592</f>
        <v>0</v>
      </c>
      <c r="O592" s="80">
        <f>O572*I592</f>
        <v>0</v>
      </c>
      <c r="P592" s="80">
        <f>P572*I592</f>
        <v>0</v>
      </c>
      <c r="R592" s="107">
        <f>R572*J592</f>
        <v>0</v>
      </c>
    </row>
    <row r="593" spans="1:18" x14ac:dyDescent="0.2">
      <c r="A593" s="316" t="s">
        <v>176</v>
      </c>
      <c r="B593" s="30" t="s">
        <v>135</v>
      </c>
      <c r="C593" s="64">
        <v>2.5000000000000001E-3</v>
      </c>
      <c r="D593" s="64"/>
      <c r="E593" s="64">
        <v>2.5000000000000001E-3</v>
      </c>
      <c r="F593" s="64"/>
      <c r="G593" s="378">
        <f>C593</f>
        <v>2.5000000000000001E-3</v>
      </c>
      <c r="H593" s="322"/>
      <c r="J593" s="64"/>
      <c r="K593" s="64"/>
      <c r="M593" s="80"/>
      <c r="O593" s="80"/>
      <c r="P593" s="80"/>
      <c r="R593" s="107"/>
    </row>
    <row r="594" spans="1:18" x14ac:dyDescent="0.2">
      <c r="A594" s="316" t="s">
        <v>200</v>
      </c>
      <c r="B594" s="30" t="s">
        <v>135</v>
      </c>
      <c r="C594" s="64">
        <f>0.1938</f>
        <v>0.1938</v>
      </c>
      <c r="D594" s="64"/>
      <c r="E594" s="64">
        <f>C594</f>
        <v>0.1938</v>
      </c>
      <c r="F594" s="64"/>
      <c r="G594" s="378">
        <f>C594</f>
        <v>0.1938</v>
      </c>
      <c r="H594" s="324"/>
      <c r="I594" s="30">
        <v>0.40039999999999998</v>
      </c>
      <c r="J594" s="64">
        <f>I594</f>
        <v>0.40039999999999998</v>
      </c>
      <c r="K594" s="64">
        <f>I594</f>
        <v>0.40039999999999998</v>
      </c>
      <c r="L594" s="80">
        <f>L572*I594</f>
        <v>7.2071999999999994</v>
      </c>
      <c r="M594" s="80">
        <f>M572*I594</f>
        <v>6.4063999999999997</v>
      </c>
      <c r="O594" s="80">
        <f>O572*I594</f>
        <v>8.4084000000000003</v>
      </c>
      <c r="P594" s="80">
        <f>P572*I594</f>
        <v>14052.438399999999</v>
      </c>
      <c r="R594" s="107">
        <f>R572*J594</f>
        <v>2972.97</v>
      </c>
    </row>
    <row r="595" spans="1:18" x14ac:dyDescent="0.2">
      <c r="A595" s="325" t="s">
        <v>182</v>
      </c>
      <c r="C595" s="64"/>
      <c r="D595" s="64"/>
      <c r="E595" s="64"/>
      <c r="F595" s="64"/>
      <c r="G595" s="378"/>
      <c r="H595" s="324"/>
      <c r="I595" s="30">
        <v>0.15440000000000001</v>
      </c>
      <c r="J595" s="64">
        <f>I595</f>
        <v>0.15440000000000001</v>
      </c>
      <c r="K595" s="64">
        <f>I595</f>
        <v>0.15440000000000001</v>
      </c>
      <c r="L595" s="80">
        <f>L572*I595</f>
        <v>2.7792000000000003</v>
      </c>
      <c r="M595" s="80">
        <f>M572*I595</f>
        <v>2.4704000000000002</v>
      </c>
      <c r="O595" s="80">
        <f>O572*I595</f>
        <v>3.2424000000000004</v>
      </c>
      <c r="P595" s="80">
        <f>P572*I595</f>
        <v>5418.8224</v>
      </c>
      <c r="R595" s="80">
        <f>R572*J595</f>
        <v>1146.42</v>
      </c>
    </row>
    <row r="596" spans="1:18" x14ac:dyDescent="0.2">
      <c r="A596" s="316" t="s">
        <v>211</v>
      </c>
      <c r="B596" s="30" t="s">
        <v>135</v>
      </c>
      <c r="C596" s="64" t="e">
        <f>#REF!</f>
        <v>#REF!</v>
      </c>
      <c r="D596" s="64"/>
      <c r="E596" s="64" t="e">
        <f>C596</f>
        <v>#REF!</v>
      </c>
      <c r="F596" s="64"/>
      <c r="G596" s="378" t="e">
        <f>C596</f>
        <v>#REF!</v>
      </c>
      <c r="H596" s="324"/>
      <c r="I596" s="30">
        <v>2.5000000000000001E-3</v>
      </c>
      <c r="J596" s="64">
        <f>I596</f>
        <v>2.5000000000000001E-3</v>
      </c>
      <c r="K596" s="64">
        <f>I596</f>
        <v>2.5000000000000001E-3</v>
      </c>
      <c r="L596" s="80">
        <f>$L$141*I596</f>
        <v>1.7500000000000002E-2</v>
      </c>
      <c r="M596" s="80">
        <f>M572*I596</f>
        <v>0.04</v>
      </c>
      <c r="O596" s="80">
        <f>O572*I596</f>
        <v>5.2499999999999998E-2</v>
      </c>
      <c r="P596" s="80">
        <f>P572*I596</f>
        <v>87.74</v>
      </c>
      <c r="R596" s="80">
        <f>R572*J596</f>
        <v>18.5625</v>
      </c>
    </row>
    <row r="597" spans="1:18" x14ac:dyDescent="0.2">
      <c r="A597" s="316" t="s">
        <v>212</v>
      </c>
      <c r="B597" s="30" t="s">
        <v>135</v>
      </c>
      <c r="C597" s="64" t="e">
        <f>#REF!</f>
        <v>#REF!</v>
      </c>
      <c r="D597" s="64"/>
      <c r="E597" s="64" t="e">
        <f>C597</f>
        <v>#REF!</v>
      </c>
      <c r="F597" s="64"/>
      <c r="G597" s="378" t="e">
        <f>C597</f>
        <v>#REF!</v>
      </c>
      <c r="H597" s="324"/>
      <c r="I597" s="30">
        <v>0.1938</v>
      </c>
      <c r="J597" s="64">
        <f>I597</f>
        <v>0.1938</v>
      </c>
      <c r="K597" s="64">
        <f>I597</f>
        <v>0.1938</v>
      </c>
      <c r="L597" s="80">
        <f>$L$141*I597</f>
        <v>1.3566</v>
      </c>
      <c r="M597" s="80">
        <f>M572*I597</f>
        <v>3.1008</v>
      </c>
      <c r="O597" s="80">
        <f>O572*I597</f>
        <v>4.0697999999999999</v>
      </c>
      <c r="P597" s="80">
        <f>P572*I597</f>
        <v>6801.6048000000001</v>
      </c>
      <c r="R597" s="80">
        <f>R572*J597</f>
        <v>1438.9649999999999</v>
      </c>
    </row>
    <row r="598" spans="1:18" x14ac:dyDescent="0.2">
      <c r="A598" s="316" t="s">
        <v>213</v>
      </c>
      <c r="B598" s="30" t="s">
        <v>135</v>
      </c>
      <c r="C598" s="64" t="e">
        <f>#REF!</f>
        <v>#REF!</v>
      </c>
      <c r="D598" s="64"/>
      <c r="E598" s="64" t="e">
        <f>C598</f>
        <v>#REF!</v>
      </c>
      <c r="F598" s="64"/>
      <c r="G598" s="378" t="e">
        <f>C598</f>
        <v>#REF!</v>
      </c>
      <c r="H598" s="324"/>
      <c r="I598" s="626"/>
      <c r="J598" s="64"/>
      <c r="K598" s="64"/>
      <c r="M598" s="80"/>
      <c r="O598" s="80">
        <f>O572*I598</f>
        <v>0</v>
      </c>
      <c r="P598" s="80">
        <f>P572*I598</f>
        <v>0</v>
      </c>
      <c r="R598" s="80">
        <f>R572*J598</f>
        <v>0</v>
      </c>
    </row>
    <row r="599" spans="1:18" x14ac:dyDescent="0.2">
      <c r="A599" s="316" t="s">
        <v>214</v>
      </c>
      <c r="B599" s="30" t="s">
        <v>215</v>
      </c>
      <c r="C599" s="326">
        <v>0.12</v>
      </c>
      <c r="D599" s="64"/>
      <c r="E599" s="326">
        <v>0.12</v>
      </c>
      <c r="F599" s="64"/>
      <c r="G599" s="326">
        <v>0.12</v>
      </c>
      <c r="H599" s="324"/>
      <c r="I599" s="64">
        <v>0.16309999999999999</v>
      </c>
      <c r="J599" s="64">
        <f t="shared" ref="J599:K601" si="16">I599</f>
        <v>0.16309999999999999</v>
      </c>
      <c r="K599" s="64">
        <f t="shared" si="16"/>
        <v>0.16309999999999999</v>
      </c>
      <c r="L599" s="115">
        <f>SUM(L573:L598)</f>
        <v>115.0429</v>
      </c>
      <c r="M599" s="116">
        <f>SUM(M573:M598)</f>
        <v>116.94024000000002</v>
      </c>
      <c r="N599" s="30" t="s">
        <v>180</v>
      </c>
      <c r="O599" s="80">
        <f>O572*I599</f>
        <v>3.4251</v>
      </c>
      <c r="P599" s="80">
        <f>P572*I599</f>
        <v>5724.1575999999995</v>
      </c>
      <c r="R599" s="80">
        <f>R572*J599</f>
        <v>1211.0174999999999</v>
      </c>
    </row>
    <row r="600" spans="1:18" x14ac:dyDescent="0.2">
      <c r="A600" s="327" t="s">
        <v>177</v>
      </c>
      <c r="B600" s="60" t="s">
        <v>135</v>
      </c>
      <c r="C600" s="328">
        <v>0.40039999999999998</v>
      </c>
      <c r="D600" s="328"/>
      <c r="E600" s="328">
        <v>0.40039999999999998</v>
      </c>
      <c r="F600" s="328"/>
      <c r="G600" s="329">
        <f>C600</f>
        <v>0.40039999999999998</v>
      </c>
      <c r="H600" s="330"/>
      <c r="I600" s="30">
        <v>1.4E-3</v>
      </c>
      <c r="J600" s="64">
        <f t="shared" si="16"/>
        <v>1.4E-3</v>
      </c>
      <c r="K600" s="64">
        <f t="shared" si="16"/>
        <v>1.4E-3</v>
      </c>
      <c r="N600" s="30" t="s">
        <v>183</v>
      </c>
      <c r="O600" s="80">
        <f>O572*I600</f>
        <v>2.9399999999999999E-2</v>
      </c>
      <c r="P600" s="80">
        <f>P572*I600</f>
        <v>49.134399999999999</v>
      </c>
      <c r="R600" s="80">
        <f>R572*J600</f>
        <v>10.395</v>
      </c>
    </row>
    <row r="601" spans="1:18" ht="21" customHeight="1" thickBot="1" x14ac:dyDescent="0.25">
      <c r="A601" s="751" t="s">
        <v>178</v>
      </c>
      <c r="B601" s="752"/>
      <c r="C601" s="753">
        <f>3.5814+1.1999+0.5461+0.8449+0.7732+0.4569+0.1192+0.001+0.1544+0.0025+0.1938+0.1631+0.0014+0.0188+0.4004</f>
        <v>8.4570000000000007</v>
      </c>
      <c r="D601" s="754"/>
      <c r="E601" s="753">
        <f>3.5814+1.1999+0.5461+0.9259+0.1192+0.001+0.1544+0.0025+0.1938+0.1631+0.0014+0.0188+0.4004</f>
        <v>7.307900000000001</v>
      </c>
      <c r="F601" s="754"/>
      <c r="G601" s="753">
        <f>3.5814+0.5461+0.1192+0.001+0.1544+0.0025+0.1938+0.1631+0.0014+0.0188+0.4004</f>
        <v>5.182100000000001</v>
      </c>
      <c r="H601" s="715"/>
      <c r="I601" s="30">
        <v>1.8800000000000001E-2</v>
      </c>
      <c r="J601" s="64">
        <f t="shared" si="16"/>
        <v>1.8800000000000001E-2</v>
      </c>
      <c r="K601" s="64">
        <f t="shared" si="16"/>
        <v>1.8800000000000001E-2</v>
      </c>
      <c r="N601" s="30" t="s">
        <v>186</v>
      </c>
      <c r="O601" s="80">
        <f>O572*I601</f>
        <v>0.39480000000000004</v>
      </c>
      <c r="P601" s="80">
        <f>P572*I601</f>
        <v>659.8048</v>
      </c>
      <c r="R601" s="80">
        <f>R572*J601</f>
        <v>139.59</v>
      </c>
    </row>
    <row r="602" spans="1:18" ht="14.25" thickTop="1" thickBot="1" x14ac:dyDescent="0.25">
      <c r="A602" s="331" t="s">
        <v>179</v>
      </c>
      <c r="B602" s="332" t="s">
        <v>166</v>
      </c>
      <c r="C602" s="336">
        <f>C587</f>
        <v>5</v>
      </c>
      <c r="D602" s="336"/>
      <c r="E602" s="336">
        <f>E584+E587</f>
        <v>68.87</v>
      </c>
      <c r="F602" s="336"/>
      <c r="G602" s="336">
        <f>G584+G587</f>
        <v>68.87</v>
      </c>
      <c r="H602" s="335"/>
      <c r="I602" s="64"/>
      <c r="J602" s="64"/>
      <c r="K602" s="64"/>
      <c r="L602" s="107" t="s">
        <v>182</v>
      </c>
      <c r="O602" s="80"/>
      <c r="P602" s="80"/>
      <c r="R602" s="80">
        <f>R572*J602</f>
        <v>0</v>
      </c>
    </row>
    <row r="603" spans="1:18" ht="14.25" thickTop="1" thickBot="1" x14ac:dyDescent="0.25">
      <c r="A603" s="713" t="s">
        <v>216</v>
      </c>
      <c r="B603" s="337" t="s">
        <v>158</v>
      </c>
      <c r="C603" s="333"/>
      <c r="D603" s="333"/>
      <c r="E603" s="333"/>
      <c r="F603" s="333"/>
      <c r="G603" s="336">
        <f>G581</f>
        <v>267.89999999999998</v>
      </c>
      <c r="H603" s="335"/>
      <c r="I603" s="64"/>
      <c r="J603" s="64"/>
      <c r="K603" s="64"/>
      <c r="N603" s="30" t="s">
        <v>191</v>
      </c>
      <c r="O603" s="121">
        <f>(SUM(O574,O582:O589))*12%</f>
        <v>6.1293839999999999</v>
      </c>
      <c r="P603" s="121">
        <f>(SUM(P574,P582:P589))*12%</f>
        <v>9241.5171839999985</v>
      </c>
      <c r="R603" s="121">
        <f>(SUM(R574,R582:R589))*12%</f>
        <v>1460.1056999999998</v>
      </c>
    </row>
    <row r="604" spans="1:18" ht="13.5" thickTop="1" x14ac:dyDescent="0.2">
      <c r="A604" s="316"/>
      <c r="C604" s="552"/>
      <c r="E604" s="552"/>
      <c r="G604" s="552"/>
      <c r="H604" s="317"/>
      <c r="I604" s="64"/>
      <c r="J604" s="64"/>
      <c r="K604" s="64"/>
      <c r="O604" s="116">
        <f>SUM(O573:O603)</f>
        <v>180.682864</v>
      </c>
      <c r="P604" s="116">
        <f>SUM(P573:P603)</f>
        <v>306053.38918399991</v>
      </c>
      <c r="R604" s="116">
        <f>SUM(R573:R603)</f>
        <v>60128.943199999994</v>
      </c>
    </row>
    <row r="605" spans="1:18" x14ac:dyDescent="0.2">
      <c r="A605" s="338" t="s">
        <v>5</v>
      </c>
      <c r="B605" s="339" t="s">
        <v>218</v>
      </c>
      <c r="C605" s="340"/>
      <c r="E605" s="340" t="s">
        <v>193</v>
      </c>
      <c r="F605" s="340" t="s">
        <v>193</v>
      </c>
      <c r="G605" s="340"/>
      <c r="H605" s="317"/>
      <c r="P605" s="80"/>
      <c r="R605" s="80"/>
    </row>
    <row r="606" spans="1:18" x14ac:dyDescent="0.2">
      <c r="A606" s="338"/>
      <c r="B606" s="339"/>
      <c r="C606" s="340"/>
      <c r="E606" s="340"/>
      <c r="F606" s="340" t="s">
        <v>193</v>
      </c>
      <c r="G606" s="340"/>
      <c r="H606" s="317"/>
      <c r="P606" s="80"/>
      <c r="R606" s="80"/>
    </row>
    <row r="607" spans="1:18" x14ac:dyDescent="0.2">
      <c r="A607" s="338"/>
      <c r="B607" s="339"/>
      <c r="C607" s="340"/>
      <c r="E607" s="340"/>
      <c r="F607" s="340" t="s">
        <v>193</v>
      </c>
      <c r="G607" s="340"/>
      <c r="H607" s="317"/>
    </row>
    <row r="608" spans="1:18" x14ac:dyDescent="0.2">
      <c r="A608" s="338"/>
      <c r="B608" s="339"/>
      <c r="C608" s="339"/>
      <c r="E608" s="339"/>
      <c r="F608" s="339"/>
      <c r="G608" s="339"/>
      <c r="H608" s="317"/>
    </row>
    <row r="609" spans="1:18" x14ac:dyDescent="0.2">
      <c r="A609" s="341" t="s">
        <v>14</v>
      </c>
      <c r="B609" s="342" t="s">
        <v>219</v>
      </c>
      <c r="C609" s="342"/>
      <c r="E609" s="342" t="s">
        <v>195</v>
      </c>
      <c r="F609" s="342" t="s">
        <v>195</v>
      </c>
      <c r="G609" s="342"/>
      <c r="H609" s="317"/>
    </row>
    <row r="610" spans="1:18" ht="13.5" thickBot="1" x14ac:dyDescent="0.25">
      <c r="A610" s="343" t="s">
        <v>217</v>
      </c>
      <c r="B610" s="344" t="s">
        <v>12</v>
      </c>
      <c r="C610" s="344"/>
      <c r="D610" s="345"/>
      <c r="E610" s="344" t="s">
        <v>197</v>
      </c>
      <c r="F610" s="344" t="s">
        <v>197</v>
      </c>
      <c r="G610" s="344"/>
      <c r="H610" s="346"/>
    </row>
    <row r="611" spans="1:18" ht="13.5" thickBot="1" x14ac:dyDescent="0.25"/>
    <row r="612" spans="1:18" x14ac:dyDescent="0.2">
      <c r="A612" s="313"/>
      <c r="B612" s="314"/>
      <c r="C612" s="314"/>
      <c r="D612" s="314"/>
      <c r="E612" s="314"/>
      <c r="F612" s="314"/>
      <c r="G612" s="314"/>
      <c r="H612" s="315"/>
    </row>
    <row r="613" spans="1:18" x14ac:dyDescent="0.2">
      <c r="A613" s="316"/>
      <c r="H613" s="317"/>
    </row>
    <row r="614" spans="1:18" x14ac:dyDescent="0.2">
      <c r="A614" s="316"/>
      <c r="H614" s="317"/>
    </row>
    <row r="615" spans="1:18" x14ac:dyDescent="0.2">
      <c r="A615" s="316"/>
      <c r="H615" s="317"/>
    </row>
    <row r="616" spans="1:18" x14ac:dyDescent="0.2">
      <c r="A616" s="316"/>
      <c r="H616" s="317"/>
    </row>
    <row r="617" spans="1:18" x14ac:dyDescent="0.2">
      <c r="A617" s="318" t="s">
        <v>60</v>
      </c>
      <c r="H617" s="317"/>
    </row>
    <row r="618" spans="1:18" x14ac:dyDescent="0.2">
      <c r="A618" s="319" t="s">
        <v>320</v>
      </c>
      <c r="H618" s="317"/>
    </row>
    <row r="619" spans="1:18" x14ac:dyDescent="0.2">
      <c r="A619" s="319"/>
      <c r="H619" s="317"/>
      <c r="L619" s="257" t="s">
        <v>146</v>
      </c>
      <c r="M619" s="75" t="s">
        <v>6</v>
      </c>
      <c r="N619" s="75"/>
      <c r="O619" s="257" t="s">
        <v>146</v>
      </c>
      <c r="P619" s="413" t="s">
        <v>6</v>
      </c>
      <c r="R619" s="85" t="s">
        <v>147</v>
      </c>
    </row>
    <row r="620" spans="1:18" x14ac:dyDescent="0.2">
      <c r="A620" s="1068" t="s">
        <v>318</v>
      </c>
      <c r="B620" s="1069"/>
      <c r="C620" s="193" t="s">
        <v>6</v>
      </c>
      <c r="D620" s="987" t="s">
        <v>47</v>
      </c>
      <c r="E620" s="988"/>
      <c r="F620" s="989"/>
      <c r="G620" s="987" t="s">
        <v>13</v>
      </c>
      <c r="H620" s="1070"/>
      <c r="I620" s="662" t="s">
        <v>6</v>
      </c>
      <c r="J620" s="643" t="s">
        <v>47</v>
      </c>
      <c r="K620" s="643" t="s">
        <v>13</v>
      </c>
      <c r="L620" s="257" t="s">
        <v>130</v>
      </c>
      <c r="M620" s="260" t="s">
        <v>148</v>
      </c>
      <c r="N620" s="75"/>
      <c r="O620" s="257" t="s">
        <v>130</v>
      </c>
      <c r="P620" s="414" t="s">
        <v>130</v>
      </c>
      <c r="R620" s="80" t="s">
        <v>130</v>
      </c>
    </row>
    <row r="621" spans="1:18" x14ac:dyDescent="0.2">
      <c r="A621" s="318" t="s">
        <v>149</v>
      </c>
      <c r="H621" s="317"/>
      <c r="J621" s="93"/>
      <c r="L621" s="93">
        <v>18</v>
      </c>
      <c r="M621" s="93">
        <v>16</v>
      </c>
      <c r="O621" s="93">
        <v>21</v>
      </c>
      <c r="P621" s="93">
        <v>41721</v>
      </c>
      <c r="R621" s="93">
        <v>6968</v>
      </c>
    </row>
    <row r="622" spans="1:18" x14ac:dyDescent="0.2">
      <c r="A622" s="316" t="s">
        <v>150</v>
      </c>
      <c r="B622" s="30" t="s">
        <v>135</v>
      </c>
      <c r="C622" s="64" t="e">
        <f>#REF!</f>
        <v>#REF!</v>
      </c>
      <c r="D622" s="64"/>
      <c r="E622" s="64" t="e">
        <f>C622</f>
        <v>#REF!</v>
      </c>
      <c r="F622" s="64"/>
      <c r="G622" s="64" t="e">
        <f>C622</f>
        <v>#REF!</v>
      </c>
      <c r="H622" s="322"/>
      <c r="I622" s="30">
        <v>3.8914</v>
      </c>
      <c r="J622" s="30">
        <f>I622</f>
        <v>3.8914</v>
      </c>
      <c r="K622" s="30">
        <f>J622</f>
        <v>3.8914</v>
      </c>
      <c r="L622" s="80">
        <f>L621*(I622)</f>
        <v>70.045199999999994</v>
      </c>
      <c r="M622" s="80">
        <f>M621*(J622)</f>
        <v>62.2624</v>
      </c>
      <c r="O622" s="80">
        <f>O621*(I622)</f>
        <v>81.719399999999993</v>
      </c>
      <c r="P622" s="80">
        <f>P621*(I622+I624+I625)</f>
        <v>162353.09940000001</v>
      </c>
      <c r="R622" s="80">
        <f>R621*(J622+J624+J625)</f>
        <v>27115.2752</v>
      </c>
    </row>
    <row r="623" spans="1:18" x14ac:dyDescent="0.2">
      <c r="A623" s="316"/>
      <c r="C623" s="550"/>
      <c r="D623" s="550"/>
      <c r="E623" s="550"/>
      <c r="F623" s="550"/>
      <c r="G623" s="550"/>
      <c r="H623" s="551"/>
      <c r="M623" s="80"/>
      <c r="O623" s="80"/>
      <c r="P623" s="80">
        <f>P621*I623</f>
        <v>0</v>
      </c>
      <c r="R623" s="80">
        <f>R621*J623</f>
        <v>0</v>
      </c>
    </row>
    <row r="624" spans="1:18" x14ac:dyDescent="0.2">
      <c r="A624" s="318" t="s">
        <v>156</v>
      </c>
      <c r="C624" s="64"/>
      <c r="D624" s="64"/>
      <c r="E624" s="64"/>
      <c r="F624" s="64"/>
      <c r="G624" s="64"/>
      <c r="H624" s="551"/>
      <c r="M624" s="80"/>
      <c r="O624" s="80"/>
      <c r="P624" s="80"/>
      <c r="R624" s="80"/>
    </row>
    <row r="625" spans="1:18" x14ac:dyDescent="0.2">
      <c r="A625" s="316" t="s">
        <v>157</v>
      </c>
      <c r="B625" s="30" t="s">
        <v>158</v>
      </c>
      <c r="C625" s="64"/>
      <c r="D625" s="64"/>
      <c r="E625" s="64"/>
      <c r="F625" s="64"/>
      <c r="G625" s="64" t="e">
        <f>#REF!</f>
        <v>#REF!</v>
      </c>
      <c r="H625" s="551"/>
      <c r="K625" s="64">
        <v>165.7107</v>
      </c>
      <c r="M625" s="80"/>
      <c r="O625" s="80"/>
      <c r="P625" s="80"/>
      <c r="R625" s="80"/>
    </row>
    <row r="626" spans="1:18" x14ac:dyDescent="0.2">
      <c r="A626" s="316" t="s">
        <v>159</v>
      </c>
      <c r="B626" s="30" t="s">
        <v>135</v>
      </c>
      <c r="C626" s="64" t="e">
        <f>#REF!</f>
        <v>#REF!</v>
      </c>
      <c r="D626" s="64"/>
      <c r="E626" s="64" t="e">
        <f>#REF!</f>
        <v>#REF!</v>
      </c>
      <c r="F626" s="64"/>
      <c r="G626" s="64"/>
      <c r="H626" s="551"/>
      <c r="I626" s="64">
        <v>0.89300000000000002</v>
      </c>
      <c r="J626" s="64">
        <v>0.89300000000000002</v>
      </c>
      <c r="L626" s="80">
        <f>L621*I626</f>
        <v>16.074000000000002</v>
      </c>
      <c r="M626" s="80">
        <f>M621*I626</f>
        <v>14.288</v>
      </c>
      <c r="O626" s="80">
        <f>O621*I626</f>
        <v>18.753</v>
      </c>
      <c r="P626" s="102">
        <f>P621*I626</f>
        <v>37256.853000000003</v>
      </c>
      <c r="R626" s="102">
        <f>R621*J626</f>
        <v>6222.424</v>
      </c>
    </row>
    <row r="627" spans="1:18" x14ac:dyDescent="0.2">
      <c r="A627" s="318" t="s">
        <v>160</v>
      </c>
      <c r="B627" s="30" t="s">
        <v>135</v>
      </c>
      <c r="C627" s="64" t="e">
        <f>#REF!</f>
        <v>#REF!</v>
      </c>
      <c r="D627" s="64"/>
      <c r="E627" s="64" t="e">
        <f>C627</f>
        <v>#REF!</v>
      </c>
      <c r="F627" s="64"/>
      <c r="G627" s="64" t="e">
        <f>C627</f>
        <v>#REF!</v>
      </c>
      <c r="H627" s="551"/>
      <c r="I627" s="30">
        <v>0.57389999999999997</v>
      </c>
      <c r="J627" s="64">
        <f>I627</f>
        <v>0.57389999999999997</v>
      </c>
      <c r="K627" s="64">
        <f>I627</f>
        <v>0.57389999999999997</v>
      </c>
      <c r="L627" s="80">
        <f>L621*I627</f>
        <v>10.3302</v>
      </c>
      <c r="M627" s="80">
        <f>M621*I627</f>
        <v>9.1823999999999995</v>
      </c>
      <c r="O627" s="80">
        <f>O621*I627</f>
        <v>12.0519</v>
      </c>
      <c r="P627" s="102">
        <f>P621*I627</f>
        <v>23943.6819</v>
      </c>
      <c r="R627" s="102">
        <f>R621*J627</f>
        <v>3998.9351999999999</v>
      </c>
    </row>
    <row r="628" spans="1:18" x14ac:dyDescent="0.2">
      <c r="A628" s="316"/>
      <c r="C628" s="64"/>
      <c r="D628" s="64"/>
      <c r="E628" s="64"/>
      <c r="F628" s="64"/>
      <c r="G628" s="64"/>
      <c r="H628" s="322"/>
      <c r="M628" s="80"/>
      <c r="O628" s="80"/>
      <c r="P628" s="80"/>
      <c r="R628" s="80"/>
    </row>
    <row r="629" spans="1:18" x14ac:dyDescent="0.2">
      <c r="A629" s="318" t="s">
        <v>161</v>
      </c>
      <c r="C629" s="64"/>
      <c r="D629" s="64"/>
      <c r="E629" s="64"/>
      <c r="F629" s="64"/>
      <c r="G629" s="64"/>
      <c r="H629" s="322"/>
      <c r="M629" s="80"/>
      <c r="O629" s="80"/>
      <c r="P629" s="80"/>
      <c r="R629" s="80"/>
    </row>
    <row r="630" spans="1:18" x14ac:dyDescent="0.2">
      <c r="A630" s="316" t="s">
        <v>162</v>
      </c>
      <c r="B630" s="30" t="s">
        <v>158</v>
      </c>
      <c r="C630" s="64"/>
      <c r="D630" s="64"/>
      <c r="E630" s="64"/>
      <c r="F630" s="64"/>
      <c r="G630" s="101">
        <v>267.89999999999998</v>
      </c>
      <c r="H630" s="322"/>
      <c r="K630" s="101">
        <v>267.89999999999998</v>
      </c>
      <c r="M630" s="80"/>
      <c r="O630" s="80"/>
      <c r="P630" s="80">
        <f>P621*I630</f>
        <v>0</v>
      </c>
      <c r="R630" s="80">
        <f>R621*J630</f>
        <v>0</v>
      </c>
    </row>
    <row r="631" spans="1:18" x14ac:dyDescent="0.2">
      <c r="A631" s="316" t="s">
        <v>163</v>
      </c>
      <c r="B631" s="30" t="s">
        <v>135</v>
      </c>
      <c r="C631" s="64">
        <v>0.84489999999999998</v>
      </c>
      <c r="D631" s="323"/>
      <c r="E631" s="378">
        <v>0.92589999999999995</v>
      </c>
      <c r="F631" s="64"/>
      <c r="G631" s="64"/>
      <c r="H631" s="322"/>
      <c r="I631" s="30">
        <v>0.84489999999999998</v>
      </c>
      <c r="J631" s="30">
        <v>0.92589999999999995</v>
      </c>
      <c r="L631" s="80">
        <f>L621*I631</f>
        <v>15.2082</v>
      </c>
      <c r="M631" s="80">
        <f>M621*I631</f>
        <v>13.5184</v>
      </c>
      <c r="O631" s="102">
        <f>O621*I631</f>
        <v>17.742899999999999</v>
      </c>
      <c r="P631" s="80">
        <f>P621*I631</f>
        <v>35250.072899999999</v>
      </c>
      <c r="R631" s="80">
        <f>R621*J631</f>
        <v>6451.6711999999998</v>
      </c>
    </row>
    <row r="632" spans="1:18" x14ac:dyDescent="0.2">
      <c r="A632" s="318" t="s">
        <v>164</v>
      </c>
      <c r="C632" s="64"/>
      <c r="D632" s="323"/>
      <c r="E632" s="64"/>
      <c r="F632" s="64"/>
      <c r="G632" s="64"/>
      <c r="H632" s="322"/>
      <c r="M632" s="80"/>
      <c r="O632" s="102"/>
      <c r="P632" s="80"/>
      <c r="R632" s="80">
        <f>6+7+4+10+15+28</f>
        <v>70</v>
      </c>
    </row>
    <row r="633" spans="1:18" x14ac:dyDescent="0.2">
      <c r="A633" s="316" t="s">
        <v>165</v>
      </c>
      <c r="B633" s="30" t="s">
        <v>166</v>
      </c>
      <c r="C633" s="64"/>
      <c r="D633" s="323"/>
      <c r="E633" s="377">
        <v>40.15</v>
      </c>
      <c r="F633" s="101"/>
      <c r="G633" s="377">
        <v>40.15</v>
      </c>
      <c r="H633" s="322"/>
      <c r="J633" s="30">
        <v>40.15</v>
      </c>
      <c r="K633" s="30">
        <v>40.15</v>
      </c>
      <c r="M633" s="80"/>
      <c r="O633" s="102"/>
      <c r="P633" s="80"/>
      <c r="R633" s="102">
        <f>J633*70</f>
        <v>2810.5</v>
      </c>
    </row>
    <row r="634" spans="1:18" x14ac:dyDescent="0.2">
      <c r="A634" s="316" t="s">
        <v>167</v>
      </c>
      <c r="B634" s="30" t="s">
        <v>135</v>
      </c>
      <c r="C634" s="64">
        <v>0.7732</v>
      </c>
      <c r="D634" s="323"/>
      <c r="E634" s="101"/>
      <c r="F634" s="101"/>
      <c r="G634" s="101"/>
      <c r="H634" s="322"/>
      <c r="I634" s="30">
        <v>0.7732</v>
      </c>
      <c r="L634" s="80">
        <f>L621*I634</f>
        <v>13.9176</v>
      </c>
      <c r="M634" s="80">
        <f>M621*I634</f>
        <v>12.3712</v>
      </c>
      <c r="O634" s="102">
        <f>O621*I634</f>
        <v>16.237200000000001</v>
      </c>
      <c r="P634" s="102">
        <f>P621*I634</f>
        <v>32258.677199999998</v>
      </c>
      <c r="R634" s="80"/>
    </row>
    <row r="635" spans="1:18" x14ac:dyDescent="0.2">
      <c r="A635" s="318" t="s">
        <v>168</v>
      </c>
      <c r="D635" s="323"/>
      <c r="E635" s="101"/>
      <c r="F635" s="101"/>
      <c r="G635" s="101"/>
      <c r="H635" s="322"/>
      <c r="M635" s="80"/>
      <c r="O635" s="102"/>
      <c r="P635" s="102"/>
      <c r="R635" s="102">
        <f>R621*J635</f>
        <v>0</v>
      </c>
    </row>
    <row r="636" spans="1:18" x14ac:dyDescent="0.2">
      <c r="A636" s="316" t="s">
        <v>221</v>
      </c>
      <c r="B636" s="30" t="s">
        <v>170</v>
      </c>
      <c r="C636" s="64">
        <v>5</v>
      </c>
      <c r="D636" s="323"/>
      <c r="E636" s="377">
        <v>28.72</v>
      </c>
      <c r="F636" s="101"/>
      <c r="G636" s="377">
        <v>28.72</v>
      </c>
      <c r="H636" s="322"/>
      <c r="I636" s="101">
        <v>5</v>
      </c>
      <c r="J636" s="30">
        <v>28.72</v>
      </c>
      <c r="K636" s="30">
        <v>28.72</v>
      </c>
      <c r="L636" s="80">
        <v>5</v>
      </c>
      <c r="M636" s="80">
        <v>5</v>
      </c>
      <c r="O636" s="102">
        <v>5</v>
      </c>
      <c r="P636" s="80">
        <f>5*80</f>
        <v>400</v>
      </c>
      <c r="R636" s="102">
        <f>J636*70</f>
        <v>2010.3999999999999</v>
      </c>
    </row>
    <row r="637" spans="1:18" x14ac:dyDescent="0.2">
      <c r="A637" s="316" t="s">
        <v>171</v>
      </c>
      <c r="B637" s="30" t="s">
        <v>135</v>
      </c>
      <c r="C637" s="64">
        <v>0.45689999999999997</v>
      </c>
      <c r="D637" s="64"/>
      <c r="E637" s="64"/>
      <c r="F637" s="64"/>
      <c r="G637" s="64"/>
      <c r="H637" s="322"/>
      <c r="I637" s="30">
        <v>0.45689999999999997</v>
      </c>
      <c r="L637" s="80">
        <f>L621*I637</f>
        <v>8.2241999999999997</v>
      </c>
      <c r="M637" s="80">
        <f>M621*I637</f>
        <v>7.3103999999999996</v>
      </c>
      <c r="O637" s="102">
        <f>O621*I637</f>
        <v>9.5948999999999991</v>
      </c>
      <c r="P637" s="80">
        <f>P621*I637</f>
        <v>19062.3249</v>
      </c>
      <c r="R637" s="103">
        <f>G637</f>
        <v>0</v>
      </c>
    </row>
    <row r="638" spans="1:18" x14ac:dyDescent="0.2">
      <c r="A638" s="716" t="s">
        <v>268</v>
      </c>
      <c r="B638" s="717" t="s">
        <v>135</v>
      </c>
      <c r="C638" s="755" t="e">
        <f>#REF!</f>
        <v>#REF!</v>
      </c>
      <c r="D638"/>
      <c r="E638" s="750" t="e">
        <f>C638</f>
        <v>#REF!</v>
      </c>
      <c r="F638"/>
      <c r="G638" s="750" t="e">
        <f>C638</f>
        <v>#REF!</v>
      </c>
      <c r="H638" s="551"/>
      <c r="I638" s="64">
        <v>0.1149</v>
      </c>
      <c r="J638" s="64">
        <f>I638</f>
        <v>0.1149</v>
      </c>
      <c r="K638" s="64">
        <f>I638</f>
        <v>0.1149</v>
      </c>
      <c r="L638" s="80">
        <f>-(L622+L626+L627+L631+L634+L636+L637)*25%</f>
        <v>-34.699849999999998</v>
      </c>
      <c r="M638" s="80">
        <f>-(M622+M626+M627+M631+M634+M636+M637)*15%</f>
        <v>-18.589919999999999</v>
      </c>
      <c r="O638" s="102">
        <f>O621*I638</f>
        <v>2.4129</v>
      </c>
      <c r="P638" s="80"/>
      <c r="R638" s="102">
        <f>R621*J638</f>
        <v>800.6232</v>
      </c>
    </row>
    <row r="639" spans="1:18" x14ac:dyDescent="0.2">
      <c r="A639" s="718" t="s">
        <v>269</v>
      </c>
      <c r="B639" s="30" t="s">
        <v>135</v>
      </c>
      <c r="C639" s="2" t="e">
        <f>#REF!</f>
        <v>#REF!</v>
      </c>
      <c r="D639"/>
      <c r="E639" s="2" t="e">
        <f>C639</f>
        <v>#REF!</v>
      </c>
      <c r="F639"/>
      <c r="G639" s="2" t="e">
        <f>C639</f>
        <v>#REF!</v>
      </c>
      <c r="H639" s="551"/>
      <c r="I639" s="30">
        <v>1.1999999999999999E-3</v>
      </c>
      <c r="J639" s="64">
        <f>I639</f>
        <v>1.1999999999999999E-3</v>
      </c>
      <c r="K639" s="64">
        <f>I639</f>
        <v>1.1999999999999999E-3</v>
      </c>
      <c r="L639" s="106">
        <f>L617*I639</f>
        <v>0</v>
      </c>
      <c r="M639" s="80"/>
      <c r="O639" s="80">
        <f>-(O622+O626+O627+O631+O634+O636+O637)*5%</f>
        <v>-8.054965000000001</v>
      </c>
      <c r="P639" s="80"/>
      <c r="R639" s="107">
        <f>R621*J639</f>
        <v>8.3615999999999993</v>
      </c>
    </row>
    <row r="640" spans="1:18" x14ac:dyDescent="0.2">
      <c r="A640" s="318" t="s">
        <v>174</v>
      </c>
      <c r="C640" s="64"/>
      <c r="D640" s="64"/>
      <c r="E640" s="64"/>
      <c r="F640" s="64"/>
      <c r="G640" s="64"/>
      <c r="H640" s="322"/>
      <c r="I640" s="64"/>
      <c r="J640" s="64"/>
      <c r="K640" s="64"/>
      <c r="L640" s="80">
        <f>L621*I640</f>
        <v>0</v>
      </c>
      <c r="M640" s="80">
        <f>M621*J640</f>
        <v>0</v>
      </c>
      <c r="O640" s="80">
        <f>O621*I640</f>
        <v>0</v>
      </c>
      <c r="P640" s="80">
        <f>P621*I640</f>
        <v>0</v>
      </c>
      <c r="R640" s="107">
        <f>R621*J640</f>
        <v>0</v>
      </c>
    </row>
    <row r="641" spans="1:18" x14ac:dyDescent="0.2">
      <c r="A641" s="316" t="s">
        <v>175</v>
      </c>
      <c r="B641" s="30" t="s">
        <v>135</v>
      </c>
      <c r="C641" s="64">
        <f>(0.0454+0.0709+0.0381+0.0017)</f>
        <v>0.15610000000000002</v>
      </c>
      <c r="D641" s="64"/>
      <c r="E641" s="64">
        <f>C641</f>
        <v>0.15610000000000002</v>
      </c>
      <c r="F641" s="64"/>
      <c r="G641" s="64">
        <f>C641</f>
        <v>0.15610000000000002</v>
      </c>
      <c r="H641" s="324"/>
      <c r="J641" s="64"/>
      <c r="K641" s="64"/>
      <c r="L641" s="80">
        <f>L621*I641</f>
        <v>0</v>
      </c>
      <c r="M641" s="80">
        <f>M621*I641</f>
        <v>0</v>
      </c>
      <c r="O641" s="80">
        <f>O621*I641</f>
        <v>0</v>
      </c>
      <c r="P641" s="80">
        <f>P621*I641</f>
        <v>0</v>
      </c>
      <c r="R641" s="107">
        <f>R621*J641</f>
        <v>0</v>
      </c>
    </row>
    <row r="642" spans="1:18" x14ac:dyDescent="0.2">
      <c r="A642" s="316" t="s">
        <v>176</v>
      </c>
      <c r="B642" s="30" t="s">
        <v>135</v>
      </c>
      <c r="C642" s="64">
        <v>2.5000000000000001E-3</v>
      </c>
      <c r="D642" s="64"/>
      <c r="E642" s="64">
        <v>2.5000000000000001E-3</v>
      </c>
      <c r="F642" s="64"/>
      <c r="G642" s="378">
        <f>C642</f>
        <v>2.5000000000000001E-3</v>
      </c>
      <c r="H642" s="322"/>
      <c r="J642" s="64"/>
      <c r="K642" s="64"/>
      <c r="M642" s="80"/>
      <c r="O642" s="80"/>
      <c r="P642" s="80"/>
      <c r="R642" s="107"/>
    </row>
    <row r="643" spans="1:18" x14ac:dyDescent="0.2">
      <c r="A643" s="316" t="s">
        <v>200</v>
      </c>
      <c r="B643" s="30" t="s">
        <v>135</v>
      </c>
      <c r="C643" s="64">
        <f>0.1938</f>
        <v>0.1938</v>
      </c>
      <c r="D643" s="64"/>
      <c r="E643" s="64">
        <f>C643</f>
        <v>0.1938</v>
      </c>
      <c r="F643" s="64"/>
      <c r="G643" s="378">
        <f>C643</f>
        <v>0.1938</v>
      </c>
      <c r="H643" s="324"/>
      <c r="I643" s="30">
        <v>0.40039999999999998</v>
      </c>
      <c r="J643" s="64">
        <f>I643</f>
        <v>0.40039999999999998</v>
      </c>
      <c r="K643" s="64">
        <f>I643</f>
        <v>0.40039999999999998</v>
      </c>
      <c r="L643" s="80">
        <f>L621*I643</f>
        <v>7.2071999999999994</v>
      </c>
      <c r="M643" s="80">
        <f>M621*I643</f>
        <v>6.4063999999999997</v>
      </c>
      <c r="O643" s="80">
        <f>O621*I643</f>
        <v>8.4084000000000003</v>
      </c>
      <c r="P643" s="80">
        <f>P621*I643</f>
        <v>16705.088400000001</v>
      </c>
      <c r="R643" s="107">
        <f>R621*J643</f>
        <v>2789.9872</v>
      </c>
    </row>
    <row r="644" spans="1:18" x14ac:dyDescent="0.2">
      <c r="A644" s="325" t="s">
        <v>182</v>
      </c>
      <c r="C644" s="64"/>
      <c r="D644" s="64"/>
      <c r="E644" s="64"/>
      <c r="F644" s="64"/>
      <c r="G644" s="378"/>
      <c r="H644" s="324"/>
      <c r="I644" s="30">
        <v>0.15609999999999999</v>
      </c>
      <c r="J644" s="64">
        <f>I644</f>
        <v>0.15609999999999999</v>
      </c>
      <c r="K644" s="64">
        <f>I644</f>
        <v>0.15609999999999999</v>
      </c>
      <c r="L644" s="80">
        <f>L621*I644</f>
        <v>2.8097999999999996</v>
      </c>
      <c r="M644" s="80">
        <f>M621*I644</f>
        <v>2.4975999999999998</v>
      </c>
      <c r="O644" s="80">
        <f>O621*I644</f>
        <v>3.2780999999999998</v>
      </c>
      <c r="P644" s="80">
        <f>P621*I644</f>
        <v>6512.6480999999994</v>
      </c>
      <c r="R644" s="80">
        <f>R621*J644</f>
        <v>1087.7048</v>
      </c>
    </row>
    <row r="645" spans="1:18" x14ac:dyDescent="0.2">
      <c r="A645" s="316" t="s">
        <v>211</v>
      </c>
      <c r="B645" s="30" t="s">
        <v>135</v>
      </c>
      <c r="C645" s="64" t="e">
        <f>#REF!</f>
        <v>#REF!</v>
      </c>
      <c r="D645" s="64"/>
      <c r="E645" s="64" t="e">
        <f>C645</f>
        <v>#REF!</v>
      </c>
      <c r="F645" s="64"/>
      <c r="G645" s="378" t="e">
        <f>C645</f>
        <v>#REF!</v>
      </c>
      <c r="H645" s="324"/>
      <c r="I645" s="30">
        <v>2.5000000000000001E-3</v>
      </c>
      <c r="J645" s="64">
        <f>I645</f>
        <v>2.5000000000000001E-3</v>
      </c>
      <c r="K645" s="64">
        <f>I645</f>
        <v>2.5000000000000001E-3</v>
      </c>
      <c r="L645" s="80">
        <f>$L$141*I645</f>
        <v>1.7500000000000002E-2</v>
      </c>
      <c r="M645" s="80">
        <f>M621*I645</f>
        <v>0.04</v>
      </c>
      <c r="O645" s="80">
        <f>O621*I645</f>
        <v>5.2499999999999998E-2</v>
      </c>
      <c r="P645" s="80">
        <f>P621*I645</f>
        <v>104.30250000000001</v>
      </c>
      <c r="R645" s="80">
        <f>R621*J645</f>
        <v>17.420000000000002</v>
      </c>
    </row>
    <row r="646" spans="1:18" x14ac:dyDescent="0.2">
      <c r="A646" s="316" t="s">
        <v>212</v>
      </c>
      <c r="B646" s="30" t="s">
        <v>135</v>
      </c>
      <c r="C646" s="64" t="e">
        <f>#REF!</f>
        <v>#REF!</v>
      </c>
      <c r="D646" s="64"/>
      <c r="E646" s="64" t="e">
        <f>C646</f>
        <v>#REF!</v>
      </c>
      <c r="F646" s="64"/>
      <c r="G646" s="378" t="e">
        <f>C646</f>
        <v>#REF!</v>
      </c>
      <c r="H646" s="324"/>
      <c r="I646" s="30">
        <v>0.1938</v>
      </c>
      <c r="J646" s="64">
        <f>I646</f>
        <v>0.1938</v>
      </c>
      <c r="K646" s="64">
        <f>I646</f>
        <v>0.1938</v>
      </c>
      <c r="L646" s="80">
        <f>$L$141*I646</f>
        <v>1.3566</v>
      </c>
      <c r="M646" s="80">
        <f>M621*I646</f>
        <v>3.1008</v>
      </c>
      <c r="O646" s="80">
        <f>O621*I646</f>
        <v>4.0697999999999999</v>
      </c>
      <c r="P646" s="80">
        <f>P621*I646</f>
        <v>8085.5298000000003</v>
      </c>
      <c r="R646" s="80">
        <f>R621*J646</f>
        <v>1350.3984</v>
      </c>
    </row>
    <row r="647" spans="1:18" x14ac:dyDescent="0.2">
      <c r="A647" s="316" t="s">
        <v>213</v>
      </c>
      <c r="B647" s="30" t="s">
        <v>135</v>
      </c>
      <c r="C647" s="64" t="e">
        <f>#REF!</f>
        <v>#REF!</v>
      </c>
      <c r="D647" s="64"/>
      <c r="E647" s="64" t="e">
        <f>C647</f>
        <v>#REF!</v>
      </c>
      <c r="F647" s="64"/>
      <c r="G647" s="378" t="e">
        <f>C647</f>
        <v>#REF!</v>
      </c>
      <c r="H647" s="324"/>
      <c r="I647" s="626"/>
      <c r="J647" s="64"/>
      <c r="K647" s="64"/>
      <c r="M647" s="80"/>
      <c r="O647" s="80">
        <f>O621*I647</f>
        <v>0</v>
      </c>
      <c r="P647" s="80">
        <f>P621*I647</f>
        <v>0</v>
      </c>
      <c r="R647" s="80">
        <f>R621*J647</f>
        <v>0</v>
      </c>
    </row>
    <row r="648" spans="1:18" x14ac:dyDescent="0.2">
      <c r="A648" s="316" t="s">
        <v>214</v>
      </c>
      <c r="B648" s="30" t="s">
        <v>215</v>
      </c>
      <c r="C648" s="326">
        <v>0.12</v>
      </c>
      <c r="D648" s="64"/>
      <c r="E648" s="326">
        <v>0.12</v>
      </c>
      <c r="F648" s="64"/>
      <c r="G648" s="326">
        <v>0.12</v>
      </c>
      <c r="H648" s="324"/>
      <c r="I648" s="64">
        <v>0.19900000000000001</v>
      </c>
      <c r="J648" s="64">
        <f t="shared" ref="J648:K650" si="17">I648</f>
        <v>0.19900000000000001</v>
      </c>
      <c r="K648" s="64">
        <f t="shared" si="17"/>
        <v>0.19900000000000001</v>
      </c>
      <c r="L648" s="115">
        <f>SUM(L622:L647)</f>
        <v>115.49064999999999</v>
      </c>
      <c r="M648" s="116">
        <f>SUM(M622:M647)</f>
        <v>117.38768000000003</v>
      </c>
      <c r="N648" s="30" t="s">
        <v>180</v>
      </c>
      <c r="O648" s="80">
        <f>O621*I648</f>
        <v>4.1790000000000003</v>
      </c>
      <c r="P648" s="80"/>
      <c r="R648" s="80">
        <f>R621*J648</f>
        <v>1386.6320000000001</v>
      </c>
    </row>
    <row r="649" spans="1:18" x14ac:dyDescent="0.2">
      <c r="A649" s="327" t="s">
        <v>177</v>
      </c>
      <c r="B649" s="60" t="s">
        <v>135</v>
      </c>
      <c r="C649" s="328">
        <v>0.40039999999999998</v>
      </c>
      <c r="D649" s="328"/>
      <c r="E649" s="328">
        <v>0.40039999999999998</v>
      </c>
      <c r="F649" s="328"/>
      <c r="G649" s="329">
        <f>C649</f>
        <v>0.40039999999999998</v>
      </c>
      <c r="H649" s="330"/>
      <c r="I649" s="30">
        <v>5.9999999999999995E-4</v>
      </c>
      <c r="J649" s="64">
        <f t="shared" si="17"/>
        <v>5.9999999999999995E-4</v>
      </c>
      <c r="K649" s="64">
        <f t="shared" si="17"/>
        <v>5.9999999999999995E-4</v>
      </c>
      <c r="N649" s="30" t="s">
        <v>183</v>
      </c>
      <c r="O649" s="80">
        <f>O621*I649</f>
        <v>1.2599999999999998E-2</v>
      </c>
      <c r="P649" s="80"/>
      <c r="R649" s="80">
        <f>R621*J649</f>
        <v>4.1807999999999996</v>
      </c>
    </row>
    <row r="650" spans="1:18" ht="13.5" thickBot="1" x14ac:dyDescent="0.25">
      <c r="A650" s="751" t="s">
        <v>178</v>
      </c>
      <c r="B650" s="752"/>
      <c r="C650" s="753" t="e">
        <f>C622+C626+C627+C631+C634+C637+C638+C639+C641+C642+C643+C645+C646+C647+C649</f>
        <v>#REF!</v>
      </c>
      <c r="D650" s="754"/>
      <c r="E650" s="753" t="e">
        <f>E622+E626+E627+E631+E634+E637+E638+E639+E641+E642+E643+E645+E646+E647+E649</f>
        <v>#REF!</v>
      </c>
      <c r="F650" s="754"/>
      <c r="G650" s="753">
        <f>3.8914+0.5739+0.1149+0.0012+0.1561+0.0025+0.1938+0.199+0.0006+0.0239+0.4004</f>
        <v>5.5577000000000014</v>
      </c>
      <c r="H650" s="715"/>
      <c r="I650" s="30">
        <v>2.3900000000000001E-2</v>
      </c>
      <c r="J650" s="64">
        <f t="shared" si="17"/>
        <v>2.3900000000000001E-2</v>
      </c>
      <c r="K650" s="64">
        <f t="shared" si="17"/>
        <v>2.3900000000000001E-2</v>
      </c>
      <c r="N650" s="30" t="s">
        <v>186</v>
      </c>
      <c r="O650" s="80">
        <f>O621*I650</f>
        <v>0.50190000000000001</v>
      </c>
      <c r="P650" s="80"/>
      <c r="R650" s="80">
        <f>R621*J650</f>
        <v>166.5352</v>
      </c>
    </row>
    <row r="651" spans="1:18" ht="14.25" thickTop="1" thickBot="1" x14ac:dyDescent="0.25">
      <c r="A651" s="331" t="s">
        <v>179</v>
      </c>
      <c r="B651" s="332" t="s">
        <v>166</v>
      </c>
      <c r="C651" s="336">
        <f>C636</f>
        <v>5</v>
      </c>
      <c r="D651" s="336"/>
      <c r="E651" s="336">
        <f>E633+E636</f>
        <v>68.87</v>
      </c>
      <c r="F651" s="336"/>
      <c r="G651" s="336">
        <f>G633+G636</f>
        <v>68.87</v>
      </c>
      <c r="H651" s="335"/>
      <c r="I651" s="64"/>
      <c r="J651" s="64"/>
      <c r="K651" s="64"/>
      <c r="L651" s="107" t="s">
        <v>182</v>
      </c>
      <c r="O651" s="80"/>
      <c r="P651" s="80"/>
      <c r="R651" s="80">
        <f>R621*J651</f>
        <v>0</v>
      </c>
    </row>
    <row r="652" spans="1:18" ht="14.25" thickTop="1" thickBot="1" x14ac:dyDescent="0.25">
      <c r="A652" s="713" t="s">
        <v>216</v>
      </c>
      <c r="B652" s="337" t="s">
        <v>158</v>
      </c>
      <c r="C652" s="333"/>
      <c r="D652" s="333"/>
      <c r="E652" s="333"/>
      <c r="F652" s="333"/>
      <c r="G652" s="336">
        <f>G630</f>
        <v>267.89999999999998</v>
      </c>
      <c r="H652" s="335"/>
      <c r="I652" s="64"/>
      <c r="J652" s="64"/>
      <c r="K652" s="64"/>
      <c r="N652" s="30" t="s">
        <v>191</v>
      </c>
      <c r="O652" s="121">
        <f>(SUM(O623,O631:O638))*12%</f>
        <v>6.1185480000000005</v>
      </c>
      <c r="P652" s="121">
        <v>-72369.69</v>
      </c>
      <c r="R652" s="121">
        <f>(SUM(R623,R631:R638))*12%</f>
        <v>1457.1833280000001</v>
      </c>
    </row>
    <row r="653" spans="1:18" ht="13.5" thickTop="1" x14ac:dyDescent="0.2">
      <c r="A653" s="316"/>
      <c r="C653" s="552"/>
      <c r="E653" s="552"/>
      <c r="G653" s="552"/>
      <c r="H653" s="317"/>
      <c r="I653" s="64"/>
      <c r="J653" s="64"/>
      <c r="K653" s="64"/>
      <c r="O653" s="116">
        <f>SUM(O622:O652)</f>
        <v>182.07808299999999</v>
      </c>
      <c r="P653" s="116">
        <f>SUM(P622:P652)</f>
        <v>269562.58809999999</v>
      </c>
      <c r="R653" s="116">
        <f>SUM(R622:R652)</f>
        <v>57748.232127999996</v>
      </c>
    </row>
    <row r="654" spans="1:18" x14ac:dyDescent="0.2">
      <c r="A654" s="338" t="s">
        <v>5</v>
      </c>
      <c r="B654" s="339" t="s">
        <v>218</v>
      </c>
      <c r="C654" s="340"/>
      <c r="E654" s="340" t="s">
        <v>193</v>
      </c>
      <c r="F654" s="340" t="s">
        <v>193</v>
      </c>
      <c r="G654" s="340"/>
      <c r="H654" s="317"/>
      <c r="P654" s="80"/>
      <c r="R654" s="80"/>
    </row>
    <row r="655" spans="1:18" x14ac:dyDescent="0.2">
      <c r="A655" s="338"/>
      <c r="B655" s="339"/>
      <c r="C655" s="340"/>
      <c r="E655" s="340"/>
      <c r="F655" s="340" t="s">
        <v>193</v>
      </c>
      <c r="G655" s="340"/>
      <c r="H655" s="317"/>
    </row>
    <row r="656" spans="1:18" x14ac:dyDescent="0.2">
      <c r="A656" s="338"/>
      <c r="B656" s="339"/>
      <c r="C656" s="340"/>
      <c r="E656" s="340"/>
      <c r="F656" s="340" t="s">
        <v>193</v>
      </c>
      <c r="G656" s="340"/>
      <c r="H656" s="317"/>
    </row>
    <row r="657" spans="1:18" x14ac:dyDescent="0.2">
      <c r="A657" s="338"/>
      <c r="B657" s="339"/>
      <c r="C657" s="339"/>
      <c r="E657" s="339"/>
      <c r="F657" s="339"/>
      <c r="G657" s="339"/>
      <c r="H657" s="317"/>
    </row>
    <row r="658" spans="1:18" x14ac:dyDescent="0.2">
      <c r="A658" s="341" t="s">
        <v>14</v>
      </c>
      <c r="B658" s="342" t="s">
        <v>219</v>
      </c>
      <c r="C658" s="342"/>
      <c r="E658" s="342" t="s">
        <v>195</v>
      </c>
      <c r="F658" s="342" t="s">
        <v>195</v>
      </c>
      <c r="G658" s="342"/>
      <c r="H658" s="317"/>
    </row>
    <row r="659" spans="1:18" ht="13.5" thickBot="1" x14ac:dyDescent="0.25">
      <c r="A659" s="343" t="s">
        <v>217</v>
      </c>
      <c r="B659" s="344" t="s">
        <v>12</v>
      </c>
      <c r="C659" s="344"/>
      <c r="D659" s="345"/>
      <c r="E659" s="344" t="s">
        <v>197</v>
      </c>
      <c r="F659" s="344" t="s">
        <v>197</v>
      </c>
      <c r="G659" s="344"/>
      <c r="H659" s="346"/>
    </row>
    <row r="660" spans="1:18" ht="13.5" thickBot="1" x14ac:dyDescent="0.25"/>
    <row r="661" spans="1:18" x14ac:dyDescent="0.2">
      <c r="A661" s="313"/>
      <c r="B661" s="314"/>
      <c r="C661" s="314"/>
      <c r="D661" s="314"/>
      <c r="E661" s="314"/>
      <c r="F661" s="314"/>
      <c r="G661" s="314"/>
      <c r="H661" s="315"/>
    </row>
    <row r="662" spans="1:18" x14ac:dyDescent="0.2">
      <c r="A662" s="316"/>
      <c r="H662" s="317"/>
    </row>
    <row r="663" spans="1:18" x14ac:dyDescent="0.2">
      <c r="A663" s="316"/>
      <c r="H663" s="317"/>
    </row>
    <row r="664" spans="1:18" x14ac:dyDescent="0.2">
      <c r="A664" s="316"/>
      <c r="H664" s="317"/>
    </row>
    <row r="665" spans="1:18" x14ac:dyDescent="0.2">
      <c r="A665" s="316"/>
      <c r="H665" s="317"/>
    </row>
    <row r="666" spans="1:18" x14ac:dyDescent="0.2">
      <c r="A666" s="318" t="s">
        <v>60</v>
      </c>
      <c r="H666" s="317"/>
    </row>
    <row r="667" spans="1:18" x14ac:dyDescent="0.2">
      <c r="A667" s="319" t="s">
        <v>328</v>
      </c>
      <c r="H667" s="317"/>
    </row>
    <row r="668" spans="1:18" x14ac:dyDescent="0.2">
      <c r="A668" s="319"/>
      <c r="H668" s="317"/>
      <c r="L668" s="257" t="s">
        <v>146</v>
      </c>
      <c r="M668" s="75" t="s">
        <v>6</v>
      </c>
      <c r="N668" s="75"/>
      <c r="O668" s="257" t="s">
        <v>146</v>
      </c>
      <c r="P668" s="413" t="s">
        <v>6</v>
      </c>
      <c r="R668" s="85" t="s">
        <v>147</v>
      </c>
    </row>
    <row r="669" spans="1:18" x14ac:dyDescent="0.2">
      <c r="A669" s="1068" t="s">
        <v>318</v>
      </c>
      <c r="B669" s="1069"/>
      <c r="C669" s="193" t="s">
        <v>6</v>
      </c>
      <c r="D669" s="987" t="s">
        <v>47</v>
      </c>
      <c r="E669" s="988"/>
      <c r="F669" s="989"/>
      <c r="G669" s="987" t="s">
        <v>13</v>
      </c>
      <c r="H669" s="1070"/>
      <c r="I669" s="662" t="s">
        <v>6</v>
      </c>
      <c r="J669" s="643" t="s">
        <v>47</v>
      </c>
      <c r="K669" s="643" t="s">
        <v>13</v>
      </c>
      <c r="L669" s="257" t="s">
        <v>130</v>
      </c>
      <c r="M669" s="260" t="s">
        <v>148</v>
      </c>
      <c r="N669" s="75"/>
      <c r="O669" s="257" t="s">
        <v>130</v>
      </c>
      <c r="P669" s="414" t="s">
        <v>130</v>
      </c>
      <c r="R669" s="80" t="s">
        <v>130</v>
      </c>
    </row>
    <row r="670" spans="1:18" x14ac:dyDescent="0.2">
      <c r="A670" s="318" t="s">
        <v>149</v>
      </c>
      <c r="H670" s="317"/>
      <c r="J670" s="93"/>
      <c r="L670" s="93">
        <v>18</v>
      </c>
      <c r="M670" s="93">
        <v>16</v>
      </c>
      <c r="O670" s="93">
        <v>21</v>
      </c>
      <c r="P670" s="93">
        <v>41721</v>
      </c>
      <c r="R670" s="93">
        <v>6968</v>
      </c>
    </row>
    <row r="671" spans="1:18" x14ac:dyDescent="0.2">
      <c r="A671" s="316" t="s">
        <v>150</v>
      </c>
      <c r="B671" s="30" t="s">
        <v>135</v>
      </c>
      <c r="C671" s="64" t="e">
        <f>#REF!</f>
        <v>#REF!</v>
      </c>
      <c r="D671" s="64"/>
      <c r="E671" s="64" t="e">
        <f>C671</f>
        <v>#REF!</v>
      </c>
      <c r="F671" s="64"/>
      <c r="G671" s="64" t="e">
        <f>C671</f>
        <v>#REF!</v>
      </c>
      <c r="H671" s="322"/>
      <c r="I671" s="30">
        <v>5.2492000000000001</v>
      </c>
      <c r="J671" s="30">
        <f>I671</f>
        <v>5.2492000000000001</v>
      </c>
      <c r="K671" s="30">
        <f>J671</f>
        <v>5.2492000000000001</v>
      </c>
      <c r="L671" s="80">
        <f>L670*(I671)</f>
        <v>94.485600000000005</v>
      </c>
      <c r="M671" s="80">
        <f>M670*(J671)</f>
        <v>83.987200000000001</v>
      </c>
      <c r="O671" s="80">
        <f>O670*(I671)</f>
        <v>110.2332</v>
      </c>
      <c r="P671" s="80">
        <f>P670*(I671+I673+I674)</f>
        <v>219001.8732</v>
      </c>
      <c r="R671" s="80">
        <f>R670*(J671+J673+J674)</f>
        <v>36576.425600000002</v>
      </c>
    </row>
    <row r="672" spans="1:18" x14ac:dyDescent="0.2">
      <c r="A672" s="316"/>
      <c r="C672" s="550"/>
      <c r="D672" s="550"/>
      <c r="E672" s="550"/>
      <c r="F672" s="550"/>
      <c r="G672" s="550"/>
      <c r="H672" s="551"/>
      <c r="M672" s="80"/>
      <c r="O672" s="80"/>
      <c r="P672" s="80">
        <f>P670*I672</f>
        <v>0</v>
      </c>
      <c r="R672" s="80">
        <f>R670*J672</f>
        <v>0</v>
      </c>
    </row>
    <row r="673" spans="1:18" x14ac:dyDescent="0.2">
      <c r="A673" s="318" t="s">
        <v>156</v>
      </c>
      <c r="C673" s="64"/>
      <c r="D673" s="64"/>
      <c r="E673" s="64"/>
      <c r="F673" s="64"/>
      <c r="G673" s="64"/>
      <c r="H673" s="551"/>
      <c r="M673" s="80"/>
      <c r="O673" s="80"/>
      <c r="P673" s="80"/>
      <c r="R673" s="80"/>
    </row>
    <row r="674" spans="1:18" x14ac:dyDescent="0.2">
      <c r="A674" s="316" t="s">
        <v>157</v>
      </c>
      <c r="B674" s="30" t="s">
        <v>158</v>
      </c>
      <c r="C674" s="64"/>
      <c r="D674" s="64"/>
      <c r="E674" s="64"/>
      <c r="F674" s="64"/>
      <c r="G674" s="64" t="e">
        <f>#REF!</f>
        <v>#REF!</v>
      </c>
      <c r="H674" s="551"/>
      <c r="K674" s="64">
        <v>165.7107</v>
      </c>
      <c r="M674" s="80"/>
      <c r="O674" s="80"/>
      <c r="P674" s="80"/>
      <c r="R674" s="80"/>
    </row>
    <row r="675" spans="1:18" x14ac:dyDescent="0.2">
      <c r="A675" s="316" t="s">
        <v>159</v>
      </c>
      <c r="B675" s="30" t="s">
        <v>135</v>
      </c>
      <c r="C675" s="64" t="e">
        <f>#REF!</f>
        <v>#REF!</v>
      </c>
      <c r="D675" s="64"/>
      <c r="E675" s="64" t="e">
        <f>#REF!</f>
        <v>#REF!</v>
      </c>
      <c r="F675" s="64"/>
      <c r="G675" s="64"/>
      <c r="H675" s="551"/>
      <c r="I675" s="64">
        <v>0.8458</v>
      </c>
      <c r="J675" s="64">
        <v>0.8458</v>
      </c>
      <c r="L675" s="80">
        <f>L670*I675</f>
        <v>15.224399999999999</v>
      </c>
      <c r="M675" s="80">
        <f>M670*I675</f>
        <v>13.5328</v>
      </c>
      <c r="O675" s="80">
        <f>O670*I675</f>
        <v>17.761800000000001</v>
      </c>
      <c r="P675" s="102">
        <f>P670*I675</f>
        <v>35287.621800000001</v>
      </c>
      <c r="R675" s="102">
        <f>R670*J675</f>
        <v>5893.5343999999996</v>
      </c>
    </row>
    <row r="676" spans="1:18" x14ac:dyDescent="0.2">
      <c r="A676" s="318" t="s">
        <v>160</v>
      </c>
      <c r="B676" s="30" t="s">
        <v>135</v>
      </c>
      <c r="C676" s="64" t="e">
        <f>#REF!</f>
        <v>#REF!</v>
      </c>
      <c r="D676" s="64"/>
      <c r="E676" s="64" t="e">
        <f>C676</f>
        <v>#REF!</v>
      </c>
      <c r="F676" s="64"/>
      <c r="G676" s="64" t="e">
        <f>C676</f>
        <v>#REF!</v>
      </c>
      <c r="H676" s="551"/>
      <c r="I676" s="30">
        <v>0.75360000000000005</v>
      </c>
      <c r="J676" s="64">
        <f>I676</f>
        <v>0.75360000000000005</v>
      </c>
      <c r="K676" s="64">
        <f>I676</f>
        <v>0.75360000000000005</v>
      </c>
      <c r="L676" s="80">
        <f>L670*I676</f>
        <v>13.564800000000002</v>
      </c>
      <c r="M676" s="80">
        <f>M670*I676</f>
        <v>12.057600000000001</v>
      </c>
      <c r="O676" s="80">
        <f>O670*I676</f>
        <v>15.825600000000001</v>
      </c>
      <c r="P676" s="102">
        <f>P670*I676</f>
        <v>31440.945600000003</v>
      </c>
      <c r="R676" s="102">
        <f>R670*J676</f>
        <v>5251.0848000000005</v>
      </c>
    </row>
    <row r="677" spans="1:18" x14ac:dyDescent="0.2">
      <c r="A677" s="316"/>
      <c r="C677" s="64"/>
      <c r="D677" s="64"/>
      <c r="E677" s="64"/>
      <c r="F677" s="64"/>
      <c r="G677" s="64"/>
      <c r="H677" s="322"/>
      <c r="M677" s="80"/>
      <c r="O677" s="80"/>
      <c r="P677" s="80"/>
      <c r="R677" s="80"/>
    </row>
    <row r="678" spans="1:18" x14ac:dyDescent="0.2">
      <c r="A678" s="318" t="s">
        <v>161</v>
      </c>
      <c r="C678" s="64"/>
      <c r="D678" s="64"/>
      <c r="E678" s="64"/>
      <c r="F678" s="64"/>
      <c r="G678" s="64"/>
      <c r="H678" s="322"/>
      <c r="M678" s="80"/>
      <c r="O678" s="80"/>
      <c r="P678" s="80"/>
      <c r="R678" s="80"/>
    </row>
    <row r="679" spans="1:18" x14ac:dyDescent="0.2">
      <c r="A679" s="316" t="s">
        <v>162</v>
      </c>
      <c r="B679" s="30" t="s">
        <v>158</v>
      </c>
      <c r="C679" s="64"/>
      <c r="D679" s="64"/>
      <c r="E679" s="64"/>
      <c r="F679" s="64"/>
      <c r="G679" s="101">
        <v>267.89999999999998</v>
      </c>
      <c r="H679" s="322"/>
      <c r="K679" s="101">
        <v>267.89999999999998</v>
      </c>
      <c r="M679" s="80"/>
      <c r="O679" s="80"/>
      <c r="P679" s="80">
        <f>P670*I679</f>
        <v>0</v>
      </c>
      <c r="R679" s="80">
        <f>R670*J679</f>
        <v>0</v>
      </c>
    </row>
    <row r="680" spans="1:18" x14ac:dyDescent="0.2">
      <c r="A680" s="316" t="s">
        <v>163</v>
      </c>
      <c r="B680" s="30" t="s">
        <v>135</v>
      </c>
      <c r="C680" s="64">
        <v>0.84489999999999998</v>
      </c>
      <c r="D680" s="323"/>
      <c r="E680" s="378">
        <v>0.92589999999999995</v>
      </c>
      <c r="F680" s="64"/>
      <c r="G680" s="64"/>
      <c r="H680" s="322"/>
      <c r="I680" s="30">
        <v>0.84489999999999998</v>
      </c>
      <c r="J680" s="30">
        <v>0.92589999999999995</v>
      </c>
      <c r="L680" s="80">
        <f>L670*I680</f>
        <v>15.2082</v>
      </c>
      <c r="M680" s="80">
        <f>M670*I680</f>
        <v>13.5184</v>
      </c>
      <c r="O680" s="102">
        <f>O670*I680</f>
        <v>17.742899999999999</v>
      </c>
      <c r="P680" s="80">
        <f>P670*I680</f>
        <v>35250.072899999999</v>
      </c>
      <c r="R680" s="80">
        <f>R670*J680</f>
        <v>6451.6711999999998</v>
      </c>
    </row>
    <row r="681" spans="1:18" x14ac:dyDescent="0.2">
      <c r="A681" s="318" t="s">
        <v>164</v>
      </c>
      <c r="C681" s="64"/>
      <c r="D681" s="323"/>
      <c r="E681" s="64"/>
      <c r="F681" s="64"/>
      <c r="G681" s="64"/>
      <c r="H681" s="322"/>
      <c r="M681" s="80"/>
      <c r="O681" s="102"/>
      <c r="P681" s="80"/>
      <c r="R681" s="80">
        <f>6+7+4+10+15+28</f>
        <v>70</v>
      </c>
    </row>
    <row r="682" spans="1:18" x14ac:dyDescent="0.2">
      <c r="A682" s="316" t="s">
        <v>165</v>
      </c>
      <c r="B682" s="30" t="s">
        <v>166</v>
      </c>
      <c r="C682" s="64"/>
      <c r="D682" s="323"/>
      <c r="E682" s="377">
        <v>40.15</v>
      </c>
      <c r="F682" s="101"/>
      <c r="G682" s="377">
        <v>40.15</v>
      </c>
      <c r="H682" s="322"/>
      <c r="J682" s="30">
        <v>40.15</v>
      </c>
      <c r="K682" s="30">
        <v>40.15</v>
      </c>
      <c r="M682" s="80"/>
      <c r="O682" s="102"/>
      <c r="P682" s="80"/>
      <c r="R682" s="102">
        <f>J682*70</f>
        <v>2810.5</v>
      </c>
    </row>
    <row r="683" spans="1:18" x14ac:dyDescent="0.2">
      <c r="A683" s="316" t="s">
        <v>167</v>
      </c>
      <c r="B683" s="30" t="s">
        <v>135</v>
      </c>
      <c r="C683" s="64">
        <v>0.7732</v>
      </c>
      <c r="D683" s="323"/>
      <c r="E683" s="101"/>
      <c r="F683" s="101"/>
      <c r="G683" s="101"/>
      <c r="H683" s="322"/>
      <c r="I683" s="30">
        <v>0.7732</v>
      </c>
      <c r="L683" s="80">
        <f>L670*I683</f>
        <v>13.9176</v>
      </c>
      <c r="M683" s="80">
        <f>M670*I683</f>
        <v>12.3712</v>
      </c>
      <c r="O683" s="102">
        <f>O670*I683</f>
        <v>16.237200000000001</v>
      </c>
      <c r="P683" s="102">
        <f>P670*I683</f>
        <v>32258.677199999998</v>
      </c>
      <c r="R683" s="80"/>
    </row>
    <row r="684" spans="1:18" x14ac:dyDescent="0.2">
      <c r="A684" s="318" t="s">
        <v>168</v>
      </c>
      <c r="D684" s="323"/>
      <c r="E684" s="101"/>
      <c r="F684" s="101"/>
      <c r="G684" s="101"/>
      <c r="H684" s="322"/>
      <c r="M684" s="80"/>
      <c r="O684" s="102"/>
      <c r="P684" s="102"/>
      <c r="R684" s="102">
        <f>R670*J684</f>
        <v>0</v>
      </c>
    </row>
    <row r="685" spans="1:18" x14ac:dyDescent="0.2">
      <c r="A685" s="316" t="s">
        <v>221</v>
      </c>
      <c r="B685" s="30" t="s">
        <v>170</v>
      </c>
      <c r="C685" s="64">
        <v>5</v>
      </c>
      <c r="D685" s="323"/>
      <c r="E685" s="377">
        <v>28.72</v>
      </c>
      <c r="F685" s="101"/>
      <c r="G685" s="377">
        <v>28.72</v>
      </c>
      <c r="H685" s="322"/>
      <c r="I685" s="101">
        <v>5</v>
      </c>
      <c r="J685" s="30">
        <v>28.72</v>
      </c>
      <c r="K685" s="30">
        <v>28.72</v>
      </c>
      <c r="L685" s="80">
        <v>5</v>
      </c>
      <c r="M685" s="80">
        <v>5</v>
      </c>
      <c r="O685" s="102">
        <v>5</v>
      </c>
      <c r="P685" s="80">
        <f>5*80</f>
        <v>400</v>
      </c>
      <c r="R685" s="102">
        <f>J685*70</f>
        <v>2010.3999999999999</v>
      </c>
    </row>
    <row r="686" spans="1:18" x14ac:dyDescent="0.2">
      <c r="A686" s="316" t="s">
        <v>171</v>
      </c>
      <c r="B686" s="30" t="s">
        <v>135</v>
      </c>
      <c r="C686" s="64">
        <v>0.45689999999999997</v>
      </c>
      <c r="D686" s="64"/>
      <c r="E686" s="64"/>
      <c r="F686" s="64"/>
      <c r="G686" s="64"/>
      <c r="H686" s="322"/>
      <c r="I686" s="30">
        <v>0.45689999999999997</v>
      </c>
      <c r="L686" s="80">
        <f>L670*I686</f>
        <v>8.2241999999999997</v>
      </c>
      <c r="M686" s="80">
        <f>M670*I686</f>
        <v>7.3103999999999996</v>
      </c>
      <c r="O686" s="102">
        <f>O670*I686</f>
        <v>9.5948999999999991</v>
      </c>
      <c r="P686" s="80">
        <f>P670*I686</f>
        <v>19062.3249</v>
      </c>
      <c r="R686" s="103">
        <f>G686</f>
        <v>0</v>
      </c>
    </row>
    <row r="687" spans="1:18" x14ac:dyDescent="0.2">
      <c r="A687" s="716" t="s">
        <v>268</v>
      </c>
      <c r="B687" s="717" t="s">
        <v>135</v>
      </c>
      <c r="C687" s="755" t="e">
        <f>#REF!</f>
        <v>#REF!</v>
      </c>
      <c r="D687"/>
      <c r="E687" s="750" t="e">
        <f>C687</f>
        <v>#REF!</v>
      </c>
      <c r="F687"/>
      <c r="G687" s="750" t="e">
        <f>C687</f>
        <v>#REF!</v>
      </c>
      <c r="H687" s="551"/>
      <c r="I687" s="64">
        <v>0.1484</v>
      </c>
      <c r="J687" s="64">
        <f>I687</f>
        <v>0.1484</v>
      </c>
      <c r="K687" s="64">
        <f>I687</f>
        <v>0.1484</v>
      </c>
      <c r="L687" s="80">
        <f>-(L671+L675+L676+L680+L683+L685+L686)*25%</f>
        <v>-41.406199999999998</v>
      </c>
      <c r="M687" s="80">
        <f>-(M671+M675+M676+M680+M683+M685+M686)*15%</f>
        <v>-22.166639999999997</v>
      </c>
      <c r="O687" s="102">
        <f>O670*I687</f>
        <v>3.1164000000000001</v>
      </c>
      <c r="P687" s="80"/>
      <c r="R687" s="102">
        <f>R670*J687</f>
        <v>1034.0512000000001</v>
      </c>
    </row>
    <row r="688" spans="1:18" x14ac:dyDescent="0.2">
      <c r="A688" s="718" t="s">
        <v>269</v>
      </c>
      <c r="B688" s="30" t="s">
        <v>135</v>
      </c>
      <c r="C688" s="2" t="e">
        <f>#REF!</f>
        <v>#REF!</v>
      </c>
      <c r="D688"/>
      <c r="E688" s="2" t="e">
        <f>C688</f>
        <v>#REF!</v>
      </c>
      <c r="F688"/>
      <c r="G688" s="2" t="e">
        <f>C688</f>
        <v>#REF!</v>
      </c>
      <c r="H688" s="551"/>
      <c r="I688" s="30">
        <v>1.6999999999999999E-3</v>
      </c>
      <c r="J688" s="64">
        <f>I688</f>
        <v>1.6999999999999999E-3</v>
      </c>
      <c r="K688" s="64">
        <f>I688</f>
        <v>1.6999999999999999E-3</v>
      </c>
      <c r="L688" s="106">
        <f>L666*I688</f>
        <v>0</v>
      </c>
      <c r="M688" s="80"/>
      <c r="O688" s="80">
        <f>-(O671+O675+O676+O680+O683+O685+O686)*5%</f>
        <v>-9.6197800000000004</v>
      </c>
      <c r="P688" s="80"/>
      <c r="R688" s="107">
        <f>R670*J688</f>
        <v>11.845599999999999</v>
      </c>
    </row>
    <row r="689" spans="1:18" x14ac:dyDescent="0.2">
      <c r="A689" s="318" t="s">
        <v>242</v>
      </c>
      <c r="C689" s="64"/>
      <c r="D689" s="323"/>
      <c r="E689" s="378"/>
      <c r="F689" s="378"/>
      <c r="G689" s="378"/>
      <c r="H689" s="322"/>
      <c r="J689" s="64"/>
      <c r="K689" s="64"/>
      <c r="L689" s="106"/>
      <c r="M689" s="80"/>
      <c r="O689" s="80"/>
      <c r="P689" s="80"/>
      <c r="R689" s="107"/>
    </row>
    <row r="690" spans="1:18" x14ac:dyDescent="0.2">
      <c r="A690" s="316" t="s">
        <v>330</v>
      </c>
      <c r="B690" s="30" t="s">
        <v>135</v>
      </c>
      <c r="C690" s="711">
        <v>4.9299999999999997E-2</v>
      </c>
      <c r="D690" s="64"/>
      <c r="E690" s="711">
        <f>C690</f>
        <v>4.9299999999999997E-2</v>
      </c>
      <c r="F690" s="711"/>
      <c r="G690" s="711">
        <f>C690</f>
        <v>4.9299999999999997E-2</v>
      </c>
      <c r="H690" s="322"/>
      <c r="J690" s="64"/>
      <c r="K690" s="64"/>
      <c r="L690" s="106"/>
      <c r="M690" s="80"/>
      <c r="O690" s="80"/>
      <c r="P690" s="80"/>
      <c r="R690" s="107"/>
    </row>
    <row r="691" spans="1:18" x14ac:dyDescent="0.2">
      <c r="A691" s="5"/>
      <c r="B691"/>
      <c r="C691" s="2"/>
      <c r="D691" s="2"/>
      <c r="E691" s="2"/>
      <c r="F691" s="2"/>
      <c r="G691" s="2"/>
      <c r="H691" s="322"/>
      <c r="J691" s="64"/>
      <c r="K691" s="64"/>
      <c r="L691" s="106"/>
      <c r="M691" s="80"/>
      <c r="O691" s="80"/>
      <c r="P691" s="80"/>
      <c r="R691" s="107"/>
    </row>
    <row r="692" spans="1:18" x14ac:dyDescent="0.2">
      <c r="A692" s="318" t="s">
        <v>174</v>
      </c>
      <c r="C692" s="64"/>
      <c r="D692" s="64"/>
      <c r="E692" s="64"/>
      <c r="F692" s="64"/>
      <c r="G692" s="64"/>
      <c r="H692" s="322"/>
      <c r="I692" s="64">
        <v>4.9250000000000002E-2</v>
      </c>
      <c r="J692" s="64"/>
      <c r="K692" s="64"/>
      <c r="L692" s="80">
        <f>L670*I692</f>
        <v>0.88650000000000007</v>
      </c>
      <c r="M692" s="80">
        <f>M670*J692</f>
        <v>0</v>
      </c>
      <c r="O692" s="80">
        <f>O670*I692</f>
        <v>1.0342500000000001</v>
      </c>
      <c r="P692" s="80">
        <f>P670*I692</f>
        <v>2054.7592500000001</v>
      </c>
      <c r="R692" s="107">
        <f>R670*J692</f>
        <v>0</v>
      </c>
    </row>
    <row r="693" spans="1:18" x14ac:dyDescent="0.2">
      <c r="A693" s="316" t="s">
        <v>175</v>
      </c>
      <c r="B693" s="30" t="s">
        <v>135</v>
      </c>
      <c r="C693" s="64">
        <f>(0.0454+0.0709)</f>
        <v>0.11630000000000001</v>
      </c>
      <c r="D693" s="64"/>
      <c r="E693" s="64">
        <f>C693</f>
        <v>0.11630000000000001</v>
      </c>
      <c r="F693" s="64"/>
      <c r="G693" s="64">
        <f>C693</f>
        <v>0.11630000000000001</v>
      </c>
      <c r="H693" s="324"/>
      <c r="J693" s="64"/>
      <c r="K693" s="64"/>
      <c r="L693" s="80">
        <f>L670*I693</f>
        <v>0</v>
      </c>
      <c r="M693" s="80">
        <f>M670*I693</f>
        <v>0</v>
      </c>
      <c r="O693" s="80">
        <f>O670*I693</f>
        <v>0</v>
      </c>
      <c r="P693" s="80">
        <f>P670*I693</f>
        <v>0</v>
      </c>
      <c r="R693" s="107">
        <f>R670*J693</f>
        <v>0</v>
      </c>
    </row>
    <row r="694" spans="1:18" x14ac:dyDescent="0.2">
      <c r="A694" s="316" t="s">
        <v>176</v>
      </c>
      <c r="B694" s="30" t="s">
        <v>135</v>
      </c>
      <c r="C694" s="64">
        <v>2.5000000000000001E-3</v>
      </c>
      <c r="D694" s="64"/>
      <c r="E694" s="64">
        <v>2.5000000000000001E-3</v>
      </c>
      <c r="F694" s="64"/>
      <c r="G694" s="378">
        <f>C694</f>
        <v>2.5000000000000001E-3</v>
      </c>
      <c r="H694" s="322"/>
      <c r="J694" s="64"/>
      <c r="K694" s="64"/>
      <c r="M694" s="80"/>
      <c r="O694" s="80"/>
      <c r="P694" s="80"/>
      <c r="R694" s="107"/>
    </row>
    <row r="695" spans="1:18" x14ac:dyDescent="0.2">
      <c r="A695" s="316" t="s">
        <v>200</v>
      </c>
      <c r="B695" s="30" t="s">
        <v>135</v>
      </c>
      <c r="C695" s="64">
        <f>0.1938</f>
        <v>0.1938</v>
      </c>
      <c r="D695" s="64"/>
      <c r="E695" s="64">
        <f>C695</f>
        <v>0.1938</v>
      </c>
      <c r="F695" s="64"/>
      <c r="G695" s="378">
        <f>C695</f>
        <v>0.1938</v>
      </c>
      <c r="H695" s="324"/>
      <c r="I695" s="30">
        <v>0.40039999999999998</v>
      </c>
      <c r="J695" s="64">
        <f>I695</f>
        <v>0.40039999999999998</v>
      </c>
      <c r="K695" s="64">
        <f>I695</f>
        <v>0.40039999999999998</v>
      </c>
      <c r="L695" s="80">
        <f>L670*I695</f>
        <v>7.2071999999999994</v>
      </c>
      <c r="M695" s="80">
        <f>M670*I695</f>
        <v>6.4063999999999997</v>
      </c>
      <c r="O695" s="80">
        <f>O670*I695</f>
        <v>8.4084000000000003</v>
      </c>
      <c r="P695" s="80">
        <f>P670*I695</f>
        <v>16705.088400000001</v>
      </c>
      <c r="R695" s="107">
        <f>R670*J695</f>
        <v>2789.9872</v>
      </c>
    </row>
    <row r="696" spans="1:18" x14ac:dyDescent="0.2">
      <c r="A696" s="325" t="s">
        <v>182</v>
      </c>
      <c r="C696" s="64"/>
      <c r="D696" s="64"/>
      <c r="E696" s="64"/>
      <c r="F696" s="64"/>
      <c r="G696" s="378"/>
      <c r="H696" s="324"/>
      <c r="I696" s="30">
        <v>0.1163</v>
      </c>
      <c r="J696" s="64">
        <f>I696</f>
        <v>0.1163</v>
      </c>
      <c r="K696" s="64">
        <f>I696</f>
        <v>0.1163</v>
      </c>
      <c r="L696" s="80">
        <f>L670*I696</f>
        <v>2.0933999999999999</v>
      </c>
      <c r="M696" s="80">
        <f>M670*I696</f>
        <v>1.8608</v>
      </c>
      <c r="O696" s="80">
        <f>O670*I696</f>
        <v>2.4422999999999999</v>
      </c>
      <c r="P696" s="80">
        <f>P670*I696</f>
        <v>4852.1522999999997</v>
      </c>
      <c r="R696" s="80">
        <f>R670*J696</f>
        <v>810.37840000000006</v>
      </c>
    </row>
    <row r="697" spans="1:18" x14ac:dyDescent="0.2">
      <c r="A697" s="316" t="s">
        <v>211</v>
      </c>
      <c r="B697" s="30" t="s">
        <v>135</v>
      </c>
      <c r="C697" s="64" t="e">
        <f>#REF!</f>
        <v>#REF!</v>
      </c>
      <c r="D697" s="64"/>
      <c r="E697" s="64" t="e">
        <f>C697</f>
        <v>#REF!</v>
      </c>
      <c r="F697" s="64"/>
      <c r="G697" s="378" t="e">
        <f>C697</f>
        <v>#REF!</v>
      </c>
      <c r="H697" s="324"/>
      <c r="I697" s="30">
        <v>2.5000000000000001E-3</v>
      </c>
      <c r="J697" s="64">
        <f>I697</f>
        <v>2.5000000000000001E-3</v>
      </c>
      <c r="K697" s="64">
        <f>I697</f>
        <v>2.5000000000000001E-3</v>
      </c>
      <c r="L697" s="80">
        <f>$L$141*I697</f>
        <v>1.7500000000000002E-2</v>
      </c>
      <c r="M697" s="80">
        <f>M670*I697</f>
        <v>0.04</v>
      </c>
      <c r="O697" s="80">
        <f>O670*I697</f>
        <v>5.2499999999999998E-2</v>
      </c>
      <c r="P697" s="80">
        <f>P670*I697</f>
        <v>104.30250000000001</v>
      </c>
      <c r="R697" s="80">
        <f>R670*J697</f>
        <v>17.420000000000002</v>
      </c>
    </row>
    <row r="698" spans="1:18" x14ac:dyDescent="0.2">
      <c r="A698" s="316" t="s">
        <v>212</v>
      </c>
      <c r="B698" s="30" t="s">
        <v>135</v>
      </c>
      <c r="C698" s="64" t="e">
        <f>#REF!</f>
        <v>#REF!</v>
      </c>
      <c r="D698" s="64"/>
      <c r="E698" s="64" t="e">
        <f>C698</f>
        <v>#REF!</v>
      </c>
      <c r="F698" s="64"/>
      <c r="G698" s="378" t="e">
        <f>C698</f>
        <v>#REF!</v>
      </c>
      <c r="H698" s="324"/>
      <c r="I698" s="30">
        <v>0.1938</v>
      </c>
      <c r="J698" s="64">
        <f>I698</f>
        <v>0.1938</v>
      </c>
      <c r="K698" s="64">
        <f>I698</f>
        <v>0.1938</v>
      </c>
      <c r="L698" s="80">
        <f>$L$141*I698</f>
        <v>1.3566</v>
      </c>
      <c r="M698" s="80">
        <f>M670*I698</f>
        <v>3.1008</v>
      </c>
      <c r="O698" s="80">
        <f>O670*I698</f>
        <v>4.0697999999999999</v>
      </c>
      <c r="P698" s="80">
        <f>P670*I698</f>
        <v>8085.5298000000003</v>
      </c>
      <c r="R698" s="80">
        <f>R670*J698</f>
        <v>1350.3984</v>
      </c>
    </row>
    <row r="699" spans="1:18" x14ac:dyDescent="0.2">
      <c r="A699" s="316" t="s">
        <v>213</v>
      </c>
      <c r="B699" s="30" t="s">
        <v>135</v>
      </c>
      <c r="C699" s="64" t="e">
        <f>#REF!</f>
        <v>#REF!</v>
      </c>
      <c r="D699" s="64"/>
      <c r="E699" s="64" t="e">
        <f>C699</f>
        <v>#REF!</v>
      </c>
      <c r="F699" s="64"/>
      <c r="G699" s="378" t="e">
        <f>C699</f>
        <v>#REF!</v>
      </c>
      <c r="H699" s="324"/>
      <c r="I699" s="626"/>
      <c r="J699" s="64"/>
      <c r="K699" s="64"/>
      <c r="M699" s="80"/>
      <c r="O699" s="80">
        <f>O670*I699</f>
        <v>0</v>
      </c>
      <c r="P699" s="80">
        <f>P670*I699</f>
        <v>0</v>
      </c>
      <c r="R699" s="80">
        <f>R670*J699</f>
        <v>0</v>
      </c>
    </row>
    <row r="700" spans="1:18" x14ac:dyDescent="0.2">
      <c r="A700" s="316" t="s">
        <v>214</v>
      </c>
      <c r="B700" s="30" t="s">
        <v>215</v>
      </c>
      <c r="C700" s="326">
        <v>0.12</v>
      </c>
      <c r="D700" s="64"/>
      <c r="E700" s="326">
        <v>0.12</v>
      </c>
      <c r="F700" s="64"/>
      <c r="G700" s="326">
        <v>0.12</v>
      </c>
      <c r="H700" s="324"/>
      <c r="I700" s="64">
        <v>4.0399999999999998E-2</v>
      </c>
      <c r="J700" s="64">
        <f t="shared" ref="J700:K702" si="18">I700</f>
        <v>4.0399999999999998E-2</v>
      </c>
      <c r="K700" s="64">
        <f t="shared" si="18"/>
        <v>4.0399999999999998E-2</v>
      </c>
      <c r="L700" s="115">
        <f>SUM(L671:L699)</f>
        <v>135.77979999999999</v>
      </c>
      <c r="M700" s="116">
        <f>SUM(M671:M699)</f>
        <v>137.01895999999996</v>
      </c>
      <c r="N700" s="30" t="s">
        <v>180</v>
      </c>
      <c r="O700" s="80">
        <f>O670*I700</f>
        <v>0.84839999999999993</v>
      </c>
      <c r="P700" s="80"/>
      <c r="R700" s="80">
        <f>R670*J700</f>
        <v>281.50720000000001</v>
      </c>
    </row>
    <row r="701" spans="1:18" x14ac:dyDescent="0.2">
      <c r="A701" s="327" t="s">
        <v>177</v>
      </c>
      <c r="B701" s="60" t="s">
        <v>135</v>
      </c>
      <c r="C701" s="328">
        <v>0.40039999999999998</v>
      </c>
      <c r="D701" s="328"/>
      <c r="E701" s="328">
        <v>0.40039999999999998</v>
      </c>
      <c r="F701" s="328"/>
      <c r="G701" s="329">
        <f>C701</f>
        <v>0.40039999999999998</v>
      </c>
      <c r="H701" s="330"/>
      <c r="I701" s="30">
        <v>5.9999999999999995E-4</v>
      </c>
      <c r="J701" s="64">
        <f t="shared" si="18"/>
        <v>5.9999999999999995E-4</v>
      </c>
      <c r="K701" s="64">
        <f t="shared" si="18"/>
        <v>5.9999999999999995E-4</v>
      </c>
      <c r="N701" s="30" t="s">
        <v>183</v>
      </c>
      <c r="O701" s="80">
        <f>O670*I701</f>
        <v>1.2599999999999998E-2</v>
      </c>
      <c r="P701" s="80"/>
      <c r="R701" s="80">
        <f>R670*J701</f>
        <v>4.1807999999999996</v>
      </c>
    </row>
    <row r="702" spans="1:18" ht="13.5" thickBot="1" x14ac:dyDescent="0.25">
      <c r="A702" s="766" t="s">
        <v>329</v>
      </c>
      <c r="B702" s="765"/>
      <c r="C702" s="753">
        <f>5.2492+0.8458+0.7536+0.8449+0.7732+0.4569+0.1484+0.0017+0.0493+0.1163+0.0025+0.1938+0.0404+0.0006+0.0051+0.4004</f>
        <v>9.8820999999999994</v>
      </c>
      <c r="D702" s="754"/>
      <c r="E702" s="753">
        <f>5.2492+0.8458+0.7536+0.9259+0.1484+0.0017+0.0493+0.1163+0.0025+0.1938+0.0404+0.0006+0.0051+0.4004</f>
        <v>8.7329999999999988</v>
      </c>
      <c r="F702" s="754"/>
      <c r="G702" s="753">
        <f>5.2492+0.7536+0.1484+0.0017+0.0493+0.1163+0.0025+0.1938+0.0404+0.0006+0.0051+0.4004</f>
        <v>6.9613000000000005</v>
      </c>
      <c r="H702" s="715"/>
      <c r="I702" s="30">
        <v>5.1000000000000004E-3</v>
      </c>
      <c r="J702" s="64">
        <f t="shared" si="18"/>
        <v>5.1000000000000004E-3</v>
      </c>
      <c r="K702" s="64">
        <f t="shared" si="18"/>
        <v>5.1000000000000004E-3</v>
      </c>
      <c r="N702" s="30" t="s">
        <v>186</v>
      </c>
      <c r="O702" s="80">
        <f>O670*I702</f>
        <v>0.1071</v>
      </c>
      <c r="P702" s="80"/>
      <c r="R702" s="80">
        <f>R670*J702</f>
        <v>35.536799999999999</v>
      </c>
    </row>
    <row r="703" spans="1:18" ht="14.25" thickTop="1" thickBot="1" x14ac:dyDescent="0.25">
      <c r="A703" s="5" t="s">
        <v>179</v>
      </c>
      <c r="B703" t="s">
        <v>166</v>
      </c>
      <c r="C703" s="336">
        <f>C685</f>
        <v>5</v>
      </c>
      <c r="D703" s="336"/>
      <c r="E703" s="336">
        <f>E682+E685</f>
        <v>68.87</v>
      </c>
      <c r="F703" s="336"/>
      <c r="G703" s="336">
        <f>G682+G685</f>
        <v>68.87</v>
      </c>
      <c r="H703" s="335"/>
      <c r="I703" s="64"/>
      <c r="J703" s="64"/>
      <c r="K703" s="64"/>
      <c r="L703" s="107" t="s">
        <v>182</v>
      </c>
      <c r="O703" s="80"/>
      <c r="P703" s="80"/>
      <c r="R703" s="80">
        <f>R670*J703</f>
        <v>0</v>
      </c>
    </row>
    <row r="704" spans="1:18" ht="14.25" thickTop="1" thickBot="1" x14ac:dyDescent="0.25">
      <c r="A704" s="713" t="s">
        <v>216</v>
      </c>
      <c r="B704" s="337" t="s">
        <v>158</v>
      </c>
      <c r="C704" s="333"/>
      <c r="D704" s="333"/>
      <c r="E704" s="333"/>
      <c r="F704" s="333"/>
      <c r="G704" s="336">
        <f>G679</f>
        <v>267.89999999999998</v>
      </c>
      <c r="H704" s="335"/>
      <c r="I704" s="64"/>
      <c r="J704" s="64"/>
      <c r="K704" s="64"/>
      <c r="N704" s="30" t="s">
        <v>191</v>
      </c>
      <c r="O704" s="121">
        <f>(SUM(O672,O680:O687))*12%</f>
        <v>6.2029680000000003</v>
      </c>
      <c r="P704" s="121">
        <v>-72369.69</v>
      </c>
      <c r="R704" s="121">
        <f>(SUM(R672,R680:R687))*12%</f>
        <v>1485.194688</v>
      </c>
    </row>
    <row r="705" spans="1:18" ht="13.5" thickTop="1" x14ac:dyDescent="0.2">
      <c r="A705" s="316"/>
      <c r="C705" s="552"/>
      <c r="E705" s="552"/>
      <c r="G705" s="552"/>
      <c r="H705" s="317"/>
      <c r="I705" s="64"/>
      <c r="J705" s="64"/>
      <c r="K705" s="64"/>
      <c r="O705" s="116">
        <f>SUM(O671:O704)</f>
        <v>209.07053799999997</v>
      </c>
      <c r="P705" s="116">
        <f>SUM(P671:P704)</f>
        <v>332133.65785000002</v>
      </c>
      <c r="R705" s="116">
        <f>SUM(R671:R704)</f>
        <v>66884.116288000005</v>
      </c>
    </row>
    <row r="706" spans="1:18" x14ac:dyDescent="0.2">
      <c r="A706" s="338" t="s">
        <v>5</v>
      </c>
      <c r="B706" s="339" t="s">
        <v>218</v>
      </c>
      <c r="C706" s="340"/>
      <c r="E706" s="340" t="s">
        <v>193</v>
      </c>
      <c r="F706" s="340" t="s">
        <v>193</v>
      </c>
      <c r="G706" s="340"/>
      <c r="H706" s="317"/>
      <c r="P706" s="80"/>
      <c r="R706" s="80"/>
    </row>
    <row r="707" spans="1:18" x14ac:dyDescent="0.2">
      <c r="A707" s="338"/>
      <c r="B707" s="339"/>
      <c r="C707" s="340"/>
      <c r="E707" s="340"/>
      <c r="F707" s="340" t="s">
        <v>193</v>
      </c>
      <c r="G707" s="340"/>
      <c r="H707" s="317"/>
    </row>
    <row r="708" spans="1:18" x14ac:dyDescent="0.2">
      <c r="A708" s="338"/>
      <c r="B708" s="339"/>
      <c r="C708" s="340"/>
      <c r="E708" s="340"/>
      <c r="F708" s="340" t="s">
        <v>193</v>
      </c>
      <c r="G708" s="340"/>
      <c r="H708" s="317"/>
    </row>
    <row r="709" spans="1:18" x14ac:dyDescent="0.2">
      <c r="A709" s="338"/>
      <c r="B709" s="339"/>
      <c r="C709" s="339"/>
      <c r="E709" s="339"/>
      <c r="F709" s="339"/>
      <c r="G709" s="339"/>
      <c r="H709" s="317"/>
    </row>
    <row r="710" spans="1:18" x14ac:dyDescent="0.2">
      <c r="A710" s="341" t="s">
        <v>14</v>
      </c>
      <c r="B710" s="342" t="s">
        <v>219</v>
      </c>
      <c r="C710" s="342"/>
      <c r="E710" s="342" t="s">
        <v>195</v>
      </c>
      <c r="F710" s="342" t="s">
        <v>195</v>
      </c>
      <c r="G710" s="342"/>
      <c r="H710" s="317"/>
    </row>
    <row r="711" spans="1:18" ht="13.5" thickBot="1" x14ac:dyDescent="0.25">
      <c r="A711" s="343" t="s">
        <v>217</v>
      </c>
      <c r="B711" s="344" t="s">
        <v>12</v>
      </c>
      <c r="C711" s="344"/>
      <c r="D711" s="345"/>
      <c r="E711" s="344" t="s">
        <v>197</v>
      </c>
      <c r="F711" s="344" t="s">
        <v>197</v>
      </c>
      <c r="G711" s="344"/>
      <c r="H711" s="346"/>
    </row>
    <row r="712" spans="1:18" ht="13.5" thickBot="1" x14ac:dyDescent="0.25"/>
    <row r="713" spans="1:18" x14ac:dyDescent="0.2">
      <c r="A713" s="313"/>
      <c r="B713" s="314"/>
      <c r="C713" s="314"/>
      <c r="D713" s="314"/>
      <c r="E713" s="314"/>
      <c r="F713" s="314"/>
      <c r="G713" s="314"/>
      <c r="H713" s="315"/>
    </row>
    <row r="714" spans="1:18" x14ac:dyDescent="0.2">
      <c r="A714" s="316"/>
      <c r="H714" s="317"/>
    </row>
    <row r="715" spans="1:18" x14ac:dyDescent="0.2">
      <c r="A715" s="316"/>
      <c r="H715" s="317"/>
    </row>
    <row r="716" spans="1:18" x14ac:dyDescent="0.2">
      <c r="A716" s="316"/>
      <c r="H716" s="317"/>
    </row>
    <row r="717" spans="1:18" x14ac:dyDescent="0.2">
      <c r="A717" s="316"/>
      <c r="H717" s="317"/>
    </row>
    <row r="718" spans="1:18" x14ac:dyDescent="0.2">
      <c r="A718" s="318" t="s">
        <v>60</v>
      </c>
      <c r="H718" s="317"/>
    </row>
    <row r="719" spans="1:18" x14ac:dyDescent="0.2">
      <c r="A719" s="319" t="s">
        <v>331</v>
      </c>
      <c r="H719" s="317"/>
    </row>
    <row r="720" spans="1:18" x14ac:dyDescent="0.2">
      <c r="A720" s="319"/>
      <c r="H720" s="317"/>
    </row>
    <row r="721" spans="1:14" x14ac:dyDescent="0.2">
      <c r="A721" s="1068" t="s">
        <v>318</v>
      </c>
      <c r="B721" s="1069"/>
      <c r="C721" s="193" t="s">
        <v>6</v>
      </c>
      <c r="D721" s="987" t="s">
        <v>47</v>
      </c>
      <c r="E721" s="988"/>
      <c r="F721" s="989"/>
      <c r="G721" s="987" t="s">
        <v>13</v>
      </c>
      <c r="H721" s="1070"/>
    </row>
    <row r="722" spans="1:14" x14ac:dyDescent="0.2">
      <c r="A722" s="318" t="s">
        <v>149</v>
      </c>
      <c r="H722" s="317"/>
    </row>
    <row r="723" spans="1:14" x14ac:dyDescent="0.2">
      <c r="A723" s="316" t="s">
        <v>150</v>
      </c>
      <c r="B723" s="30" t="s">
        <v>135</v>
      </c>
      <c r="C723" s="64" t="e">
        <f>#REF!</f>
        <v>#REF!</v>
      </c>
      <c r="D723" s="64"/>
      <c r="E723" s="64" t="e">
        <f>C723</f>
        <v>#REF!</v>
      </c>
      <c r="F723" s="64"/>
      <c r="G723" s="64" t="e">
        <f>C723</f>
        <v>#REF!</v>
      </c>
      <c r="H723" s="322"/>
      <c r="J723" s="64"/>
      <c r="L723" s="64"/>
      <c r="M723" s="64"/>
      <c r="N723" s="64"/>
    </row>
    <row r="724" spans="1:14" x14ac:dyDescent="0.2">
      <c r="A724" s="316"/>
      <c r="C724" s="550"/>
      <c r="D724" s="550"/>
      <c r="E724" s="550"/>
      <c r="F724" s="550"/>
      <c r="G724" s="550"/>
      <c r="H724" s="551"/>
      <c r="L724" s="30"/>
    </row>
    <row r="725" spans="1:14" x14ac:dyDescent="0.2">
      <c r="A725" s="318" t="s">
        <v>156</v>
      </c>
      <c r="C725" s="64"/>
      <c r="D725" s="64"/>
      <c r="E725" s="64"/>
      <c r="F725" s="64"/>
      <c r="G725" s="64"/>
      <c r="H725" s="551"/>
      <c r="L725" s="30"/>
    </row>
    <row r="726" spans="1:14" x14ac:dyDescent="0.2">
      <c r="A726" s="316" t="s">
        <v>157</v>
      </c>
      <c r="B726" s="30" t="s">
        <v>158</v>
      </c>
      <c r="C726" s="64"/>
      <c r="D726" s="64"/>
      <c r="E726" s="64"/>
      <c r="F726" s="64"/>
      <c r="G726" s="64" t="e">
        <f>#REF!</f>
        <v>#REF!</v>
      </c>
      <c r="H726" s="551"/>
      <c r="L726" s="30"/>
    </row>
    <row r="727" spans="1:14" x14ac:dyDescent="0.2">
      <c r="A727" s="316" t="s">
        <v>159</v>
      </c>
      <c r="B727" s="30" t="s">
        <v>135</v>
      </c>
      <c r="C727" s="64" t="e">
        <f>#REF!</f>
        <v>#REF!</v>
      </c>
      <c r="D727" s="64"/>
      <c r="E727" s="64" t="e">
        <f>#REF!</f>
        <v>#REF!</v>
      </c>
      <c r="F727" s="64"/>
      <c r="G727" s="64"/>
      <c r="H727" s="551"/>
      <c r="J727" s="64"/>
      <c r="L727" s="64"/>
      <c r="M727" s="64"/>
      <c r="N727" s="64"/>
    </row>
    <row r="728" spans="1:14" x14ac:dyDescent="0.2">
      <c r="A728" s="318" t="s">
        <v>160</v>
      </c>
      <c r="B728" s="30" t="s">
        <v>135</v>
      </c>
      <c r="C728" s="64" t="e">
        <f>#REF!</f>
        <v>#REF!</v>
      </c>
      <c r="D728" s="64"/>
      <c r="E728" s="64" t="e">
        <f>C728</f>
        <v>#REF!</v>
      </c>
      <c r="F728" s="64"/>
      <c r="G728" s="64" t="e">
        <f>C728</f>
        <v>#REF!</v>
      </c>
      <c r="H728" s="551"/>
      <c r="J728" s="64"/>
      <c r="L728" s="64"/>
      <c r="M728" s="64"/>
      <c r="N728" s="64"/>
    </row>
    <row r="729" spans="1:14" x14ac:dyDescent="0.2">
      <c r="A729" s="316"/>
      <c r="C729" s="64"/>
      <c r="D729" s="64"/>
      <c r="E729" s="64"/>
      <c r="F729" s="64"/>
      <c r="G729" s="64"/>
      <c r="H729" s="322"/>
      <c r="L729" s="30"/>
    </row>
    <row r="730" spans="1:14" x14ac:dyDescent="0.2">
      <c r="A730" s="318" t="s">
        <v>161</v>
      </c>
      <c r="C730" s="64"/>
      <c r="D730" s="64"/>
      <c r="E730" s="64"/>
      <c r="F730" s="64"/>
      <c r="G730" s="64"/>
      <c r="H730" s="322"/>
      <c r="L730" s="30"/>
    </row>
    <row r="731" spans="1:14" x14ac:dyDescent="0.2">
      <c r="A731" s="316" t="s">
        <v>162</v>
      </c>
      <c r="B731" s="30" t="s">
        <v>158</v>
      </c>
      <c r="C731" s="64"/>
      <c r="D731" s="64"/>
      <c r="E731" s="64"/>
      <c r="F731" s="64"/>
      <c r="G731" s="101">
        <v>267.89999999999998</v>
      </c>
      <c r="H731" s="322"/>
      <c r="L731" s="30"/>
    </row>
    <row r="732" spans="1:14" x14ac:dyDescent="0.2">
      <c r="A732" s="316" t="s">
        <v>163</v>
      </c>
      <c r="B732" s="30" t="s">
        <v>135</v>
      </c>
      <c r="C732" s="64">
        <v>0.84489999999999998</v>
      </c>
      <c r="D732" s="323"/>
      <c r="E732" s="378">
        <v>0.92589999999999995</v>
      </c>
      <c r="F732" s="64"/>
      <c r="G732" s="64"/>
      <c r="H732" s="322"/>
      <c r="J732" s="64"/>
      <c r="L732" s="64"/>
      <c r="M732" s="64"/>
      <c r="N732" s="64"/>
    </row>
    <row r="733" spans="1:14" x14ac:dyDescent="0.2">
      <c r="A733" s="318" t="s">
        <v>164</v>
      </c>
      <c r="C733" s="64"/>
      <c r="D733" s="323"/>
      <c r="E733" s="64"/>
      <c r="F733" s="64"/>
      <c r="G733" s="64"/>
      <c r="H733" s="322"/>
      <c r="L733" s="30"/>
    </row>
    <row r="734" spans="1:14" x14ac:dyDescent="0.2">
      <c r="A734" s="316" t="s">
        <v>165</v>
      </c>
      <c r="B734" s="30" t="s">
        <v>166</v>
      </c>
      <c r="C734" s="64"/>
      <c r="D734" s="323"/>
      <c r="E734" s="377">
        <v>40.15</v>
      </c>
      <c r="F734" s="101"/>
      <c r="G734" s="377">
        <v>40.15</v>
      </c>
      <c r="H734" s="322"/>
      <c r="L734" s="30"/>
    </row>
    <row r="735" spans="1:14" x14ac:dyDescent="0.2">
      <c r="A735" s="316" t="s">
        <v>167</v>
      </c>
      <c r="B735" s="30" t="s">
        <v>135</v>
      </c>
      <c r="C735" s="64">
        <v>0.7732</v>
      </c>
      <c r="D735" s="323"/>
      <c r="E735" s="101"/>
      <c r="F735" s="101"/>
      <c r="G735" s="101"/>
      <c r="H735" s="322"/>
      <c r="J735" s="64"/>
      <c r="L735" s="64"/>
      <c r="M735" s="64"/>
      <c r="N735" s="64"/>
    </row>
    <row r="736" spans="1:14" x14ac:dyDescent="0.2">
      <c r="A736" s="318" t="s">
        <v>168</v>
      </c>
      <c r="D736" s="323"/>
      <c r="E736" s="101"/>
      <c r="F736" s="101"/>
      <c r="G736" s="101"/>
      <c r="H736" s="322"/>
      <c r="L736" s="30"/>
    </row>
    <row r="737" spans="1:14" x14ac:dyDescent="0.2">
      <c r="A737" s="316" t="s">
        <v>221</v>
      </c>
      <c r="B737" s="30" t="s">
        <v>170</v>
      </c>
      <c r="C737" s="64">
        <v>5</v>
      </c>
      <c r="D737" s="323"/>
      <c r="E737" s="377">
        <v>28.72</v>
      </c>
      <c r="F737" s="101"/>
      <c r="G737" s="377">
        <v>28.72</v>
      </c>
      <c r="H737" s="322"/>
      <c r="L737" s="30"/>
    </row>
    <row r="738" spans="1:14" x14ac:dyDescent="0.2">
      <c r="A738" s="316" t="s">
        <v>171</v>
      </c>
      <c r="B738" s="30" t="s">
        <v>135</v>
      </c>
      <c r="C738" s="64">
        <v>0.45689999999999997</v>
      </c>
      <c r="D738" s="64"/>
      <c r="E738" s="64"/>
      <c r="F738" s="64"/>
      <c r="G738" s="64"/>
      <c r="H738" s="322"/>
      <c r="J738" s="64"/>
      <c r="L738" s="64"/>
      <c r="M738" s="64"/>
      <c r="N738" s="64"/>
    </row>
    <row r="739" spans="1:14" x14ac:dyDescent="0.2">
      <c r="A739" s="716" t="s">
        <v>268</v>
      </c>
      <c r="B739" s="717" t="s">
        <v>135</v>
      </c>
      <c r="C739" s="755" t="e">
        <f>#REF!</f>
        <v>#REF!</v>
      </c>
      <c r="D739"/>
      <c r="E739" s="750" t="e">
        <f>C739</f>
        <v>#REF!</v>
      </c>
      <c r="F739"/>
      <c r="G739" s="750" t="e">
        <f>C739</f>
        <v>#REF!</v>
      </c>
      <c r="H739" s="551"/>
      <c r="J739" s="64"/>
      <c r="L739" s="64"/>
      <c r="M739" s="64"/>
      <c r="N739" s="64"/>
    </row>
    <row r="740" spans="1:14" x14ac:dyDescent="0.2">
      <c r="A740" s="718" t="s">
        <v>269</v>
      </c>
      <c r="B740" s="30" t="s">
        <v>135</v>
      </c>
      <c r="C740" s="2" t="e">
        <f>#REF!</f>
        <v>#REF!</v>
      </c>
      <c r="D740"/>
      <c r="E740" s="2" t="e">
        <f>C740</f>
        <v>#REF!</v>
      </c>
      <c r="F740"/>
      <c r="G740" s="2" t="e">
        <f>C740</f>
        <v>#REF!</v>
      </c>
      <c r="H740" s="551"/>
      <c r="J740" s="64"/>
      <c r="L740" s="64"/>
      <c r="M740" s="64"/>
      <c r="N740" s="64"/>
    </row>
    <row r="741" spans="1:14" x14ac:dyDescent="0.2">
      <c r="A741" s="318" t="s">
        <v>242</v>
      </c>
      <c r="C741" s="64"/>
      <c r="D741" s="323"/>
      <c r="E741" s="378"/>
      <c r="F741" s="378"/>
      <c r="G741" s="378"/>
      <c r="H741" s="322"/>
      <c r="L741" s="30"/>
    </row>
    <row r="742" spans="1:14" x14ac:dyDescent="0.2">
      <c r="A742" s="316" t="s">
        <v>330</v>
      </c>
      <c r="B742" s="30" t="s">
        <v>135</v>
      </c>
      <c r="C742" s="711">
        <v>4.9299999999999997E-2</v>
      </c>
      <c r="D742" s="64"/>
      <c r="E742" s="711">
        <f>C742</f>
        <v>4.9299999999999997E-2</v>
      </c>
      <c r="F742" s="711"/>
      <c r="G742" s="711">
        <f>C742</f>
        <v>4.9299999999999997E-2</v>
      </c>
      <c r="H742" s="322"/>
      <c r="J742" s="64"/>
      <c r="L742" s="64"/>
      <c r="M742" s="64"/>
      <c r="N742" s="64"/>
    </row>
    <row r="743" spans="1:14" x14ac:dyDescent="0.2">
      <c r="A743" s="5"/>
      <c r="B743"/>
      <c r="C743" s="2"/>
      <c r="D743" s="2"/>
      <c r="E743" s="2"/>
      <c r="F743" s="2"/>
      <c r="G743" s="2"/>
      <c r="H743" s="322"/>
      <c r="L743" s="30"/>
    </row>
    <row r="744" spans="1:14" x14ac:dyDescent="0.2">
      <c r="A744" s="318" t="s">
        <v>174</v>
      </c>
      <c r="C744" s="64"/>
      <c r="D744" s="64"/>
      <c r="E744" s="64"/>
      <c r="F744" s="64"/>
      <c r="G744" s="64"/>
      <c r="H744" s="322"/>
      <c r="L744" s="30"/>
    </row>
    <row r="745" spans="1:14" x14ac:dyDescent="0.2">
      <c r="A745" s="316" t="s">
        <v>175</v>
      </c>
      <c r="B745" s="30" t="s">
        <v>135</v>
      </c>
      <c r="C745" s="64">
        <f>(0.0454+0.0709+0.0017)</f>
        <v>0.11800000000000001</v>
      </c>
      <c r="D745" s="64"/>
      <c r="E745" s="64">
        <f>C745</f>
        <v>0.11800000000000001</v>
      </c>
      <c r="F745" s="64"/>
      <c r="G745" s="64">
        <f>C745</f>
        <v>0.11800000000000001</v>
      </c>
      <c r="H745" s="324"/>
      <c r="J745" s="64"/>
      <c r="L745" s="64"/>
      <c r="M745" s="64"/>
      <c r="N745" s="64"/>
    </row>
    <row r="746" spans="1:14" x14ac:dyDescent="0.2">
      <c r="A746" s="316" t="s">
        <v>176</v>
      </c>
      <c r="B746" s="30" t="s">
        <v>135</v>
      </c>
      <c r="C746" s="64">
        <v>2.5000000000000001E-3</v>
      </c>
      <c r="D746" s="64"/>
      <c r="E746" s="64">
        <v>2.5000000000000001E-3</v>
      </c>
      <c r="F746" s="64"/>
      <c r="G746" s="378">
        <f>C746</f>
        <v>2.5000000000000001E-3</v>
      </c>
      <c r="H746" s="322"/>
      <c r="J746" s="64"/>
      <c r="L746" s="64"/>
      <c r="M746" s="64"/>
      <c r="N746" s="64"/>
    </row>
    <row r="747" spans="1:14" x14ac:dyDescent="0.2">
      <c r="A747" s="316" t="s">
        <v>200</v>
      </c>
      <c r="B747" s="30" t="s">
        <v>135</v>
      </c>
      <c r="C747" s="64">
        <f>0.1938</f>
        <v>0.1938</v>
      </c>
      <c r="D747" s="64"/>
      <c r="E747" s="64">
        <f>C747</f>
        <v>0.1938</v>
      </c>
      <c r="F747" s="64"/>
      <c r="G747" s="378">
        <f>C747</f>
        <v>0.1938</v>
      </c>
      <c r="H747" s="324"/>
      <c r="J747" s="64"/>
      <c r="L747" s="64"/>
      <c r="M747" s="64"/>
      <c r="N747" s="64"/>
    </row>
    <row r="748" spans="1:14" x14ac:dyDescent="0.2">
      <c r="A748" s="325" t="s">
        <v>182</v>
      </c>
      <c r="C748" s="64"/>
      <c r="D748" s="64"/>
      <c r="E748" s="64"/>
      <c r="F748" s="64"/>
      <c r="G748" s="378"/>
      <c r="H748" s="324"/>
      <c r="J748" s="64"/>
      <c r="L748" s="64"/>
      <c r="M748" s="64"/>
      <c r="N748" s="64"/>
    </row>
    <row r="749" spans="1:14" x14ac:dyDescent="0.2">
      <c r="A749" s="316" t="s">
        <v>211</v>
      </c>
      <c r="B749" s="30" t="s">
        <v>135</v>
      </c>
      <c r="C749" s="64" t="e">
        <f>#REF!</f>
        <v>#REF!</v>
      </c>
      <c r="D749" s="64"/>
      <c r="E749" s="64" t="e">
        <f>C749</f>
        <v>#REF!</v>
      </c>
      <c r="F749" s="64"/>
      <c r="G749" s="378" t="e">
        <f>C749</f>
        <v>#REF!</v>
      </c>
      <c r="H749" s="324"/>
      <c r="J749" s="64"/>
      <c r="L749" s="64"/>
      <c r="M749" s="64"/>
      <c r="N749" s="64"/>
    </row>
    <row r="750" spans="1:14" x14ac:dyDescent="0.2">
      <c r="A750" s="316" t="s">
        <v>212</v>
      </c>
      <c r="B750" s="30" t="s">
        <v>135</v>
      </c>
      <c r="C750" s="64" t="e">
        <f>#REF!</f>
        <v>#REF!</v>
      </c>
      <c r="D750" s="64"/>
      <c r="E750" s="64" t="e">
        <f>C750</f>
        <v>#REF!</v>
      </c>
      <c r="F750" s="64"/>
      <c r="G750" s="378" t="e">
        <f>C750</f>
        <v>#REF!</v>
      </c>
      <c r="H750" s="324"/>
      <c r="J750" s="64"/>
      <c r="L750" s="64"/>
      <c r="M750" s="64"/>
      <c r="N750" s="64"/>
    </row>
    <row r="751" spans="1:14" x14ac:dyDescent="0.2">
      <c r="A751" s="316" t="s">
        <v>213</v>
      </c>
      <c r="B751" s="30" t="s">
        <v>135</v>
      </c>
      <c r="C751" s="64" t="e">
        <f>#REF!</f>
        <v>#REF!</v>
      </c>
      <c r="D751" s="64"/>
      <c r="E751" s="64" t="e">
        <f>C751</f>
        <v>#REF!</v>
      </c>
      <c r="F751" s="64"/>
      <c r="G751" s="378" t="e">
        <f>C751</f>
        <v>#REF!</v>
      </c>
      <c r="H751" s="324"/>
      <c r="J751" s="64"/>
      <c r="L751" s="64"/>
      <c r="M751" s="64"/>
      <c r="N751" s="64"/>
    </row>
    <row r="752" spans="1:14" x14ac:dyDescent="0.2">
      <c r="A752" s="316" t="s">
        <v>214</v>
      </c>
      <c r="B752" s="30" t="s">
        <v>215</v>
      </c>
      <c r="C752" s="326">
        <v>0.12</v>
      </c>
      <c r="D752" s="64"/>
      <c r="E752" s="326">
        <v>0.12</v>
      </c>
      <c r="F752" s="64"/>
      <c r="G752" s="326">
        <v>0.12</v>
      </c>
      <c r="H752" s="324"/>
      <c r="L752" s="30"/>
    </row>
    <row r="753" spans="1:14" x14ac:dyDescent="0.2">
      <c r="A753" s="327" t="s">
        <v>177</v>
      </c>
      <c r="B753" s="60" t="s">
        <v>135</v>
      </c>
      <c r="C753" s="328">
        <v>0.40039999999999998</v>
      </c>
      <c r="D753" s="328"/>
      <c r="E753" s="328">
        <v>0.40039999999999998</v>
      </c>
      <c r="F753" s="328"/>
      <c r="G753" s="329">
        <f>C753</f>
        <v>0.40039999999999998</v>
      </c>
      <c r="H753" s="330"/>
      <c r="J753" s="64"/>
      <c r="L753" s="64"/>
      <c r="M753" s="64"/>
      <c r="N753" s="64"/>
    </row>
    <row r="754" spans="1:14" ht="13.5" thickBot="1" x14ac:dyDescent="0.25">
      <c r="A754" s="766" t="s">
        <v>329</v>
      </c>
      <c r="B754" s="765"/>
      <c r="C754" s="762">
        <f>5.3312+0.9521+0.7926+0.8449+0.7732+0.4569+0.1391+0.0015+0.0493+0.118+0.0025+0.1938+0.2563+0.0144+0.0341+0.4004</f>
        <v>10.360299999999999</v>
      </c>
      <c r="D754" s="754"/>
      <c r="E754" s="762">
        <f>5.3312+0.9521+0.7926+0.9259+0.1391+0.0015+0.049303+0.118+0.0025+0.1938+0.2563+0.0144+0.0341+0.4004</f>
        <v>9.2112029999999976</v>
      </c>
      <c r="F754" s="754"/>
      <c r="G754" s="762">
        <f>5.3312+0.7926+0.1391+0.0015+0.0493+0.118+0.0025+0.1938+0.2563+0.0144+0.0341+0.4004</f>
        <v>7.3332000000000015</v>
      </c>
      <c r="H754" s="715"/>
      <c r="I754"/>
      <c r="J754"/>
      <c r="L754"/>
      <c r="M754"/>
      <c r="N754"/>
    </row>
    <row r="755" spans="1:14" ht="14.25" thickTop="1" thickBot="1" x14ac:dyDescent="0.25">
      <c r="A755" s="5" t="s">
        <v>179</v>
      </c>
      <c r="B755" t="s">
        <v>166</v>
      </c>
      <c r="C755" s="336">
        <f>C737</f>
        <v>5</v>
      </c>
      <c r="D755" s="336"/>
      <c r="E755" s="336">
        <f>E734+E737</f>
        <v>68.87</v>
      </c>
      <c r="F755" s="336"/>
      <c r="G755" s="336">
        <f>G734+G737</f>
        <v>68.87</v>
      </c>
      <c r="H755" s="335"/>
    </row>
    <row r="756" spans="1:14" ht="14.25" thickTop="1" thickBot="1" x14ac:dyDescent="0.25">
      <c r="A756" s="713" t="s">
        <v>216</v>
      </c>
      <c r="B756" s="337" t="s">
        <v>158</v>
      </c>
      <c r="C756" s="333"/>
      <c r="D756" s="333"/>
      <c r="E756" s="333"/>
      <c r="F756" s="333"/>
      <c r="G756" s="336">
        <f>G731</f>
        <v>267.89999999999998</v>
      </c>
      <c r="H756" s="335"/>
    </row>
    <row r="757" spans="1:14" ht="13.5" thickTop="1" x14ac:dyDescent="0.2">
      <c r="A757" s="316"/>
      <c r="C757" s="552"/>
      <c r="E757" s="552"/>
      <c r="G757" s="552"/>
      <c r="H757" s="317"/>
    </row>
    <row r="758" spans="1:14" x14ac:dyDescent="0.2">
      <c r="A758" s="338" t="s">
        <v>5</v>
      </c>
      <c r="B758" s="339" t="s">
        <v>218</v>
      </c>
      <c r="C758" s="340"/>
      <c r="E758" s="340" t="s">
        <v>193</v>
      </c>
      <c r="F758" s="340" t="s">
        <v>193</v>
      </c>
      <c r="G758" s="340"/>
      <c r="H758" s="317"/>
    </row>
    <row r="759" spans="1:14" x14ac:dyDescent="0.2">
      <c r="A759" s="338"/>
      <c r="B759" s="339"/>
      <c r="C759" s="340"/>
      <c r="E759" s="340"/>
      <c r="F759" s="340" t="s">
        <v>193</v>
      </c>
      <c r="G759" s="340"/>
      <c r="H759" s="317"/>
    </row>
    <row r="760" spans="1:14" x14ac:dyDescent="0.2">
      <c r="A760" s="338"/>
      <c r="B760" s="339"/>
      <c r="C760" s="340"/>
      <c r="E760" s="340"/>
      <c r="F760" s="340" t="s">
        <v>193</v>
      </c>
      <c r="G760" s="340"/>
      <c r="H760" s="317"/>
    </row>
    <row r="761" spans="1:14" x14ac:dyDescent="0.2">
      <c r="A761" s="338"/>
      <c r="B761" s="339"/>
      <c r="C761" s="339"/>
      <c r="E761" s="339"/>
      <c r="F761" s="339"/>
      <c r="G761" s="339"/>
      <c r="H761" s="317"/>
    </row>
    <row r="762" spans="1:14" x14ac:dyDescent="0.2">
      <c r="A762" s="341" t="s">
        <v>14</v>
      </c>
      <c r="B762" s="342" t="s">
        <v>219</v>
      </c>
      <c r="C762" s="342"/>
      <c r="E762" s="342" t="s">
        <v>195</v>
      </c>
      <c r="F762" s="342" t="s">
        <v>195</v>
      </c>
      <c r="G762" s="342"/>
      <c r="H762" s="317"/>
    </row>
    <row r="763" spans="1:14" ht="13.5" thickBot="1" x14ac:dyDescent="0.25">
      <c r="A763" s="343" t="s">
        <v>217</v>
      </c>
      <c r="B763" s="344" t="s">
        <v>12</v>
      </c>
      <c r="C763" s="344"/>
      <c r="D763" s="345"/>
      <c r="E763" s="344" t="s">
        <v>197</v>
      </c>
      <c r="F763" s="344" t="s">
        <v>197</v>
      </c>
      <c r="G763" s="344"/>
      <c r="H763" s="346"/>
    </row>
  </sheetData>
  <mergeCells count="66">
    <mergeCell ref="G39:H39"/>
    <mergeCell ref="A51:B51"/>
    <mergeCell ref="A7:B7"/>
    <mergeCell ref="D7:F7"/>
    <mergeCell ref="G7:H7"/>
    <mergeCell ref="D38:F38"/>
    <mergeCell ref="G38:H38"/>
    <mergeCell ref="D51:F51"/>
    <mergeCell ref="G51:H51"/>
    <mergeCell ref="A95:B95"/>
    <mergeCell ref="D95:F95"/>
    <mergeCell ref="G95:H95"/>
    <mergeCell ref="A721:B721"/>
    <mergeCell ref="D721:F721"/>
    <mergeCell ref="G721:H721"/>
    <mergeCell ref="G128:H128"/>
    <mergeCell ref="A140:B140"/>
    <mergeCell ref="D140:F140"/>
    <mergeCell ref="G140:H140"/>
    <mergeCell ref="D172:F172"/>
    <mergeCell ref="G172:H172"/>
    <mergeCell ref="G173:H173"/>
    <mergeCell ref="A185:B185"/>
    <mergeCell ref="D185:F185"/>
    <mergeCell ref="G185:H185"/>
    <mergeCell ref="D82:F82"/>
    <mergeCell ref="G82:H82"/>
    <mergeCell ref="G83:H83"/>
    <mergeCell ref="D127:F127"/>
    <mergeCell ref="G127:H127"/>
    <mergeCell ref="D217:F217"/>
    <mergeCell ref="G217:H217"/>
    <mergeCell ref="G218:H218"/>
    <mergeCell ref="A230:B230"/>
    <mergeCell ref="D230:F230"/>
    <mergeCell ref="G230:H230"/>
    <mergeCell ref="D262:F262"/>
    <mergeCell ref="G262:H262"/>
    <mergeCell ref="G263:H263"/>
    <mergeCell ref="A275:B275"/>
    <mergeCell ref="D275:F275"/>
    <mergeCell ref="G275:H275"/>
    <mergeCell ref="A325:B325"/>
    <mergeCell ref="D325:F325"/>
    <mergeCell ref="G325:H325"/>
    <mergeCell ref="A375:B375"/>
    <mergeCell ref="D375:F375"/>
    <mergeCell ref="G375:H375"/>
    <mergeCell ref="G425:H425"/>
    <mergeCell ref="A471:B471"/>
    <mergeCell ref="D471:F471"/>
    <mergeCell ref="G471:H471"/>
    <mergeCell ref="A520:B520"/>
    <mergeCell ref="D520:F520"/>
    <mergeCell ref="G520:H520"/>
    <mergeCell ref="A425:B425"/>
    <mergeCell ref="D425:F425"/>
    <mergeCell ref="A669:B669"/>
    <mergeCell ref="D669:F669"/>
    <mergeCell ref="G669:H669"/>
    <mergeCell ref="A571:B571"/>
    <mergeCell ref="D571:F571"/>
    <mergeCell ref="G571:H571"/>
    <mergeCell ref="A620:B620"/>
    <mergeCell ref="D620:F620"/>
    <mergeCell ref="G620:H620"/>
  </mergeCells>
  <pageMargins left="0.82677165354330717" right="0.6692913385826772" top="0.70866141732283472" bottom="0.43307086614173229" header="0.51181102362204722" footer="0.51181102362204722"/>
  <pageSetup orientation="portrait" horizontalDpi="180" verticalDpi="180" r:id="rId1"/>
  <headerFooter alignWithMargins="0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5:G55"/>
  <sheetViews>
    <sheetView topLeftCell="B41" workbookViewId="0">
      <selection activeCell="I47" sqref="I47"/>
    </sheetView>
  </sheetViews>
  <sheetFormatPr defaultRowHeight="12.75" x14ac:dyDescent="0.2"/>
  <cols>
    <col min="1" max="1" width="15.5703125" customWidth="1"/>
    <col min="2" max="2" width="11" customWidth="1"/>
    <col min="3" max="3" width="59.28515625" customWidth="1"/>
    <col min="4" max="4" width="8.85546875" customWidth="1"/>
    <col min="5" max="5" width="13.28515625" customWidth="1"/>
    <col min="6" max="6" width="7.85546875" customWidth="1"/>
    <col min="7" max="7" width="13.42578125" customWidth="1"/>
  </cols>
  <sheetData>
    <row r="5" spans="1:6" x14ac:dyDescent="0.2">
      <c r="A5" s="1" t="s">
        <v>294</v>
      </c>
    </row>
    <row r="6" spans="1:6" x14ac:dyDescent="0.2">
      <c r="A6" s="1" t="s">
        <v>309</v>
      </c>
    </row>
    <row r="7" spans="1:6" x14ac:dyDescent="0.2">
      <c r="E7" s="1" t="s">
        <v>313</v>
      </c>
    </row>
    <row r="9" spans="1:6" x14ac:dyDescent="0.2">
      <c r="A9" s="17" t="s">
        <v>303</v>
      </c>
      <c r="B9" t="s">
        <v>273</v>
      </c>
      <c r="C9" s="735" t="s">
        <v>314</v>
      </c>
      <c r="E9" s="347">
        <v>6643324.0599999996</v>
      </c>
      <c r="F9" s="17" t="s">
        <v>285</v>
      </c>
    </row>
    <row r="10" spans="1:6" x14ac:dyDescent="0.2">
      <c r="A10" s="17"/>
      <c r="B10" t="s">
        <v>274</v>
      </c>
      <c r="C10" s="735" t="s">
        <v>235</v>
      </c>
      <c r="E10" s="348">
        <v>-7220.67</v>
      </c>
      <c r="F10" s="17"/>
    </row>
    <row r="11" spans="1:6" x14ac:dyDescent="0.2">
      <c r="A11" s="17"/>
      <c r="B11" t="s">
        <v>275</v>
      </c>
      <c r="C11" s="735" t="s">
        <v>238</v>
      </c>
      <c r="E11" s="348">
        <v>-7220.67</v>
      </c>
      <c r="F11" s="17"/>
    </row>
    <row r="12" spans="1:6" x14ac:dyDescent="0.2">
      <c r="A12" s="17"/>
      <c r="B12" t="s">
        <v>276</v>
      </c>
      <c r="C12" s="735" t="s">
        <v>261</v>
      </c>
      <c r="E12" s="348">
        <v>-7220.67</v>
      </c>
      <c r="F12" s="17"/>
    </row>
    <row r="13" spans="1:6" x14ac:dyDescent="0.2">
      <c r="A13" s="17"/>
      <c r="B13" t="s">
        <v>277</v>
      </c>
      <c r="C13" s="735" t="s">
        <v>271</v>
      </c>
      <c r="E13" s="348">
        <v>-7220.67</v>
      </c>
      <c r="F13" s="17"/>
    </row>
    <row r="14" spans="1:6" x14ac:dyDescent="0.2">
      <c r="A14" s="17"/>
      <c r="E14" s="721">
        <f>SUM(E9:E13)</f>
        <v>6614441.3799999999</v>
      </c>
      <c r="F14" s="17"/>
    </row>
    <row r="15" spans="1:6" x14ac:dyDescent="0.2">
      <c r="A15" s="17"/>
      <c r="E15" s="722"/>
      <c r="F15" s="17"/>
    </row>
    <row r="16" spans="1:6" x14ac:dyDescent="0.2">
      <c r="A16" s="17"/>
      <c r="E16" s="722"/>
      <c r="F16" s="17"/>
    </row>
    <row r="17" spans="1:7" x14ac:dyDescent="0.2">
      <c r="A17" s="17" t="s">
        <v>304</v>
      </c>
      <c r="B17" t="s">
        <v>280</v>
      </c>
      <c r="C17" s="349" t="s">
        <v>279</v>
      </c>
      <c r="E17" s="348">
        <v>770974.78</v>
      </c>
      <c r="F17" s="17" t="s">
        <v>285</v>
      </c>
    </row>
    <row r="18" spans="1:7" x14ac:dyDescent="0.2">
      <c r="A18" s="17"/>
      <c r="B18" s="3" t="s">
        <v>312</v>
      </c>
      <c r="C18" s="349" t="s">
        <v>262</v>
      </c>
      <c r="E18" s="348">
        <v>-1444.4</v>
      </c>
      <c r="F18" s="17"/>
      <c r="G18" s="3"/>
    </row>
    <row r="19" spans="1:7" x14ac:dyDescent="0.2">
      <c r="A19" s="17"/>
      <c r="B19" t="s">
        <v>278</v>
      </c>
      <c r="C19" s="349" t="s">
        <v>272</v>
      </c>
      <c r="E19" s="348">
        <v>-1444.4</v>
      </c>
      <c r="F19" s="17"/>
    </row>
    <row r="20" spans="1:7" x14ac:dyDescent="0.2">
      <c r="A20" s="17"/>
      <c r="E20" s="721">
        <f>SUM(E17:E19)</f>
        <v>768085.98</v>
      </c>
    </row>
    <row r="21" spans="1:7" x14ac:dyDescent="0.2">
      <c r="A21" s="17"/>
    </row>
    <row r="22" spans="1:7" x14ac:dyDescent="0.2">
      <c r="A22" s="17"/>
    </row>
    <row r="23" spans="1:7" x14ac:dyDescent="0.2">
      <c r="A23" s="17" t="s">
        <v>305</v>
      </c>
      <c r="B23" s="3" t="s">
        <v>282</v>
      </c>
      <c r="C23" s="349" t="s">
        <v>281</v>
      </c>
      <c r="E23" s="348">
        <v>-2100262</v>
      </c>
    </row>
    <row r="24" spans="1:7" x14ac:dyDescent="0.2">
      <c r="A24" s="17"/>
      <c r="E24" s="742"/>
    </row>
    <row r="25" spans="1:7" x14ac:dyDescent="0.2">
      <c r="A25" s="17" t="s">
        <v>306</v>
      </c>
      <c r="B25" s="3" t="s">
        <v>284</v>
      </c>
      <c r="C25" s="723" t="s">
        <v>283</v>
      </c>
      <c r="E25" s="348">
        <v>-805193</v>
      </c>
    </row>
    <row r="26" spans="1:7" x14ac:dyDescent="0.2">
      <c r="A26" s="17"/>
      <c r="E26" s="724"/>
    </row>
    <row r="27" spans="1:7" x14ac:dyDescent="0.2">
      <c r="A27" s="17" t="s">
        <v>307</v>
      </c>
      <c r="B27" s="3" t="s">
        <v>287</v>
      </c>
      <c r="C27" s="349" t="s">
        <v>286</v>
      </c>
      <c r="E27" s="348">
        <v>-7212843.1399999997</v>
      </c>
    </row>
    <row r="28" spans="1:7" x14ac:dyDescent="0.2">
      <c r="A28" s="17"/>
      <c r="E28" s="3"/>
    </row>
    <row r="29" spans="1:7" x14ac:dyDescent="0.2">
      <c r="A29" s="17" t="s">
        <v>308</v>
      </c>
      <c r="B29" s="3" t="s">
        <v>288</v>
      </c>
      <c r="C29" s="349" t="s">
        <v>267</v>
      </c>
      <c r="E29" s="724">
        <v>1669781.39</v>
      </c>
    </row>
    <row r="32" spans="1:7" x14ac:dyDescent="0.2">
      <c r="A32" s="726" t="s">
        <v>291</v>
      </c>
      <c r="B32" s="726"/>
      <c r="C32" s="726" t="s">
        <v>289</v>
      </c>
      <c r="D32" s="725"/>
      <c r="E32" s="727">
        <f>E14+E20+E23+E25+E27+E29</f>
        <v>-1065989.3900000004</v>
      </c>
    </row>
    <row r="33" spans="1:7" x14ac:dyDescent="0.2">
      <c r="D33" s="3" t="s">
        <v>290</v>
      </c>
      <c r="E33">
        <v>6</v>
      </c>
      <c r="F33" s="3" t="s">
        <v>311</v>
      </c>
    </row>
    <row r="34" spans="1:7" x14ac:dyDescent="0.2">
      <c r="A34" s="730" t="s">
        <v>292</v>
      </c>
      <c r="B34" s="728"/>
      <c r="C34" s="728"/>
      <c r="D34" s="728"/>
      <c r="E34" s="719">
        <f>E32/6</f>
        <v>-177664.8983333334</v>
      </c>
    </row>
    <row r="35" spans="1:7" ht="13.5" thickBot="1" x14ac:dyDescent="0.25">
      <c r="A35" s="731" t="s">
        <v>293</v>
      </c>
      <c r="B35" s="729"/>
      <c r="C35" s="729"/>
      <c r="D35" s="729"/>
      <c r="E35" s="732">
        <f>E34/30</f>
        <v>-5922.1632777777804</v>
      </c>
    </row>
    <row r="36" spans="1:7" ht="13.5" thickTop="1" x14ac:dyDescent="0.2"/>
    <row r="38" spans="1:7" x14ac:dyDescent="0.2">
      <c r="A38" s="738" t="s">
        <v>294</v>
      </c>
      <c r="B38" s="26"/>
      <c r="C38" s="26"/>
      <c r="D38" s="26"/>
      <c r="E38" s="26"/>
    </row>
    <row r="39" spans="1:7" x14ac:dyDescent="0.2">
      <c r="A39" s="27" t="s">
        <v>295</v>
      </c>
      <c r="B39" s="28"/>
      <c r="C39" s="28"/>
      <c r="D39" s="28"/>
      <c r="E39" s="739">
        <f>-5922.16*63</f>
        <v>-373096.08</v>
      </c>
    </row>
    <row r="40" spans="1:7" x14ac:dyDescent="0.2">
      <c r="A40" s="29" t="s">
        <v>296</v>
      </c>
      <c r="B40" s="28"/>
      <c r="C40" s="28"/>
      <c r="D40" s="28"/>
      <c r="E40" s="740">
        <v>-374000</v>
      </c>
    </row>
    <row r="42" spans="1:7" x14ac:dyDescent="0.2">
      <c r="A42" s="741" t="s">
        <v>297</v>
      </c>
    </row>
    <row r="43" spans="1:7" x14ac:dyDescent="0.2">
      <c r="A43" s="3" t="s">
        <v>298</v>
      </c>
      <c r="D43" s="3" t="s">
        <v>301</v>
      </c>
      <c r="E43" s="415">
        <v>0</v>
      </c>
      <c r="G43" s="415">
        <v>2634000</v>
      </c>
    </row>
    <row r="44" spans="1:7" x14ac:dyDescent="0.2">
      <c r="A44" s="3" t="s">
        <v>299</v>
      </c>
      <c r="E44" s="415">
        <v>12881.42</v>
      </c>
    </row>
    <row r="45" spans="1:7" x14ac:dyDescent="0.2">
      <c r="A45" s="720" t="s">
        <v>300</v>
      </c>
      <c r="B45" s="725"/>
      <c r="C45" s="725"/>
      <c r="D45" s="725"/>
      <c r="E45" s="733">
        <f>SUM(E43:E44)</f>
        <v>12881.42</v>
      </c>
    </row>
    <row r="47" spans="1:7" ht="16.5" thickBot="1" x14ac:dyDescent="0.3">
      <c r="A47" s="737" t="s">
        <v>302</v>
      </c>
      <c r="B47" s="734"/>
      <c r="C47" s="734"/>
      <c r="D47" s="734"/>
      <c r="E47" s="736">
        <f>E40+E45</f>
        <v>-361118.58</v>
      </c>
    </row>
    <row r="48" spans="1:7" ht="13.5" thickTop="1" x14ac:dyDescent="0.2"/>
    <row r="50" spans="1:1" x14ac:dyDescent="0.2">
      <c r="A50" s="3" t="s">
        <v>4</v>
      </c>
    </row>
    <row r="54" spans="1:1" x14ac:dyDescent="0.2">
      <c r="A54" s="3" t="s">
        <v>14</v>
      </c>
    </row>
    <row r="55" spans="1:1" x14ac:dyDescent="0.2">
      <c r="A55" s="3" t="s">
        <v>310</v>
      </c>
    </row>
  </sheetData>
  <pageMargins left="0.47244094488188981" right="0.23622047244094491" top="0.74803149606299213" bottom="0.74803149606299213" header="0.31496062992125984" footer="0.31496062992125984"/>
  <pageSetup paperSize="9" scale="83" orientation="portrait" horizontalDpi="4294967295" verticalDpi="4294967295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CT490"/>
  <sheetViews>
    <sheetView topLeftCell="BQ1" workbookViewId="0">
      <selection activeCell="CC4" sqref="CC4"/>
    </sheetView>
  </sheetViews>
  <sheetFormatPr defaultRowHeight="12.75" x14ac:dyDescent="0.2"/>
  <cols>
    <col min="1" max="1" width="9.140625" style="30"/>
    <col min="2" max="2" width="16.42578125" style="30" hidden="1" customWidth="1"/>
    <col min="3" max="49" width="0" style="30" hidden="1" customWidth="1"/>
    <col min="50" max="16384" width="9.140625" style="30"/>
  </cols>
  <sheetData>
    <row r="1" spans="2:98" x14ac:dyDescent="0.2">
      <c r="BW1" s="775" t="s">
        <v>333</v>
      </c>
    </row>
    <row r="2" spans="2:98" x14ac:dyDescent="0.2">
      <c r="B2" s="1073">
        <v>2012</v>
      </c>
      <c r="C2" s="1073"/>
      <c r="D2" s="1073"/>
      <c r="E2" s="1073"/>
      <c r="F2" s="1073"/>
      <c r="G2" s="1073"/>
      <c r="H2" s="1073"/>
      <c r="I2" s="1073"/>
      <c r="J2" s="1073"/>
      <c r="K2" s="1073"/>
      <c r="L2" s="1073"/>
      <c r="M2" s="1073"/>
      <c r="N2" s="1073"/>
      <c r="O2" s="1073"/>
      <c r="P2" s="1073"/>
      <c r="Q2" s="1073"/>
      <c r="R2" s="1073"/>
      <c r="S2" s="1073"/>
      <c r="T2" s="1073"/>
      <c r="U2" s="1073"/>
      <c r="V2" s="1073"/>
      <c r="W2" s="1073"/>
      <c r="X2" s="1073"/>
      <c r="AA2" s="58">
        <v>2013</v>
      </c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Y2" s="75">
        <v>2014</v>
      </c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W2" s="776">
        <v>2015</v>
      </c>
      <c r="BX2" s="774"/>
      <c r="BY2" s="774"/>
      <c r="BZ2" s="774"/>
      <c r="CA2" s="774"/>
      <c r="CB2" s="774"/>
      <c r="CC2" s="774"/>
      <c r="CD2" s="774"/>
      <c r="CE2" s="774"/>
      <c r="CF2" s="774"/>
      <c r="CG2" s="774"/>
      <c r="CH2" s="774"/>
      <c r="CI2" s="774"/>
      <c r="CJ2" s="774"/>
      <c r="CK2" s="774"/>
      <c r="CL2" s="774"/>
      <c r="CM2" s="774"/>
      <c r="CN2" s="774"/>
      <c r="CO2" s="774"/>
      <c r="CP2" s="774"/>
      <c r="CQ2" s="774"/>
      <c r="CR2" s="774"/>
      <c r="CS2" s="774"/>
      <c r="CT2" s="774"/>
    </row>
    <row r="3" spans="2:98" x14ac:dyDescent="0.2">
      <c r="B3" s="34" t="s">
        <v>99</v>
      </c>
      <c r="C3" s="34"/>
      <c r="D3" s="34" t="s">
        <v>100</v>
      </c>
      <c r="E3" s="34"/>
      <c r="F3" s="34" t="s">
        <v>101</v>
      </c>
      <c r="G3" s="34"/>
      <c r="H3" s="34" t="s">
        <v>102</v>
      </c>
      <c r="I3" s="34"/>
      <c r="J3" s="34" t="s">
        <v>103</v>
      </c>
      <c r="K3" s="34"/>
      <c r="L3" s="34" t="s">
        <v>104</v>
      </c>
      <c r="M3" s="34"/>
      <c r="N3" s="34" t="s">
        <v>105</v>
      </c>
      <c r="O3" s="34"/>
      <c r="P3" s="34" t="s">
        <v>106</v>
      </c>
      <c r="Q3" s="34"/>
      <c r="R3" s="34" t="s">
        <v>107</v>
      </c>
      <c r="S3" s="34"/>
      <c r="T3" s="34" t="s">
        <v>108</v>
      </c>
      <c r="V3" s="34" t="s">
        <v>109</v>
      </c>
      <c r="X3" s="34" t="s">
        <v>110</v>
      </c>
      <c r="AA3" s="34" t="s">
        <v>111</v>
      </c>
      <c r="AB3" s="34"/>
      <c r="AC3" s="34" t="s">
        <v>100</v>
      </c>
      <c r="AD3" s="34"/>
      <c r="AE3" s="34" t="s">
        <v>101</v>
      </c>
      <c r="AF3" s="34"/>
      <c r="AG3" s="34" t="s">
        <v>102</v>
      </c>
      <c r="AH3" s="34"/>
      <c r="AI3" s="34" t="s">
        <v>103</v>
      </c>
      <c r="AJ3" s="34"/>
      <c r="AK3" s="34" t="s">
        <v>104</v>
      </c>
      <c r="AL3" s="34"/>
      <c r="AM3" s="34" t="s">
        <v>105</v>
      </c>
      <c r="AN3" s="34"/>
      <c r="AO3" s="34" t="s">
        <v>106</v>
      </c>
      <c r="AP3" s="34"/>
      <c r="AQ3" s="34" t="s">
        <v>107</v>
      </c>
      <c r="AR3" s="34"/>
      <c r="AS3" s="34" t="s">
        <v>108</v>
      </c>
      <c r="AU3" s="34" t="s">
        <v>109</v>
      </c>
      <c r="AW3" s="34" t="s">
        <v>110</v>
      </c>
      <c r="AY3" s="34" t="s">
        <v>322</v>
      </c>
      <c r="AZ3" s="34"/>
      <c r="BA3" s="34" t="s">
        <v>100</v>
      </c>
      <c r="BB3" s="34"/>
      <c r="BC3" s="34" t="s">
        <v>101</v>
      </c>
      <c r="BD3" s="34"/>
      <c r="BE3" s="34" t="s">
        <v>102</v>
      </c>
      <c r="BF3" s="34"/>
      <c r="BG3" s="34" t="s">
        <v>103</v>
      </c>
      <c r="BH3" s="34"/>
      <c r="BI3" s="34" t="s">
        <v>104</v>
      </c>
      <c r="BJ3" s="34"/>
      <c r="BK3" s="34" t="s">
        <v>105</v>
      </c>
      <c r="BL3" s="34"/>
      <c r="BM3" s="34" t="s">
        <v>106</v>
      </c>
      <c r="BN3" s="34"/>
      <c r="BO3" s="34" t="s">
        <v>107</v>
      </c>
      <c r="BP3" s="34"/>
      <c r="BQ3" s="34" t="s">
        <v>108</v>
      </c>
      <c r="BS3" s="34" t="s">
        <v>109</v>
      </c>
      <c r="BU3" s="34" t="s">
        <v>110</v>
      </c>
      <c r="BW3" s="773" t="s">
        <v>332</v>
      </c>
      <c r="CC3" s="773" t="s">
        <v>336</v>
      </c>
    </row>
    <row r="4" spans="2:98" x14ac:dyDescent="0.2">
      <c r="B4" s="34" t="s">
        <v>112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V4" s="34"/>
      <c r="X4" s="34"/>
      <c r="AA4" s="34" t="s">
        <v>113</v>
      </c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U4" s="34"/>
      <c r="AW4" s="34"/>
      <c r="AY4" s="34" t="s">
        <v>323</v>
      </c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S4" s="34"/>
      <c r="BU4" s="34"/>
    </row>
    <row r="5" spans="2:98" x14ac:dyDescent="0.2">
      <c r="D5" s="30">
        <v>40</v>
      </c>
      <c r="F5" s="30">
        <v>26</v>
      </c>
      <c r="G5" s="34"/>
      <c r="H5" s="30">
        <v>25</v>
      </c>
      <c r="J5" s="30">
        <v>27</v>
      </c>
      <c r="L5" s="30">
        <v>17</v>
      </c>
      <c r="N5" s="30">
        <v>21</v>
      </c>
      <c r="P5" s="30">
        <v>3</v>
      </c>
      <c r="R5" s="30">
        <v>69</v>
      </c>
      <c r="T5" s="30">
        <v>89</v>
      </c>
      <c r="V5" s="30">
        <v>85</v>
      </c>
      <c r="X5" s="30">
        <v>85</v>
      </c>
      <c r="AA5" s="34"/>
    </row>
    <row r="6" spans="2:98" x14ac:dyDescent="0.2">
      <c r="B6" s="30">
        <v>33</v>
      </c>
      <c r="C6" s="30" t="s">
        <v>114</v>
      </c>
      <c r="D6" s="30">
        <v>34</v>
      </c>
      <c r="F6" s="30">
        <v>23</v>
      </c>
      <c r="G6" s="34"/>
      <c r="H6" s="30">
        <v>28</v>
      </c>
      <c r="J6" s="30">
        <v>54</v>
      </c>
      <c r="L6" s="30">
        <v>31</v>
      </c>
      <c r="N6" s="30">
        <v>88</v>
      </c>
      <c r="P6" s="30">
        <v>3</v>
      </c>
      <c r="R6" s="30">
        <v>29</v>
      </c>
      <c r="T6" s="30">
        <v>30</v>
      </c>
      <c r="V6" s="30">
        <v>34</v>
      </c>
      <c r="X6" s="30">
        <v>32</v>
      </c>
      <c r="AA6" s="30">
        <v>85</v>
      </c>
      <c r="AC6" s="30">
        <v>84</v>
      </c>
      <c r="AE6" s="30">
        <v>76</v>
      </c>
      <c r="AG6" s="30">
        <v>57</v>
      </c>
      <c r="AI6" s="30">
        <v>72</v>
      </c>
      <c r="AK6" s="30">
        <v>72</v>
      </c>
      <c r="AM6" s="30">
        <v>26</v>
      </c>
      <c r="AO6" s="30">
        <v>42</v>
      </c>
      <c r="AQ6" s="495">
        <v>91</v>
      </c>
      <c r="AS6" s="30">
        <v>98</v>
      </c>
      <c r="AU6">
        <v>40</v>
      </c>
      <c r="AW6" s="30">
        <v>19</v>
      </c>
      <c r="AY6" s="30">
        <v>19</v>
      </c>
      <c r="BA6" s="30">
        <v>10</v>
      </c>
      <c r="BC6" s="30">
        <v>12</v>
      </c>
      <c r="BE6" s="30">
        <v>18</v>
      </c>
      <c r="BG6" s="30">
        <v>23</v>
      </c>
      <c r="BI6" s="30">
        <v>2</v>
      </c>
      <c r="BK6" s="30">
        <v>69</v>
      </c>
      <c r="BM6" s="769">
        <v>52</v>
      </c>
      <c r="BO6" s="30">
        <v>57</v>
      </c>
      <c r="BQ6" s="30">
        <v>66</v>
      </c>
      <c r="BS6" s="30">
        <v>67</v>
      </c>
      <c r="BU6" s="30">
        <v>75</v>
      </c>
      <c r="BW6" s="30">
        <v>73</v>
      </c>
      <c r="CC6" s="30">
        <v>65</v>
      </c>
    </row>
    <row r="7" spans="2:98" x14ac:dyDescent="0.2">
      <c r="B7" s="30">
        <v>22</v>
      </c>
      <c r="D7" s="30">
        <v>48</v>
      </c>
      <c r="F7" s="30">
        <v>74</v>
      </c>
      <c r="G7" s="34"/>
      <c r="H7" s="30">
        <v>59</v>
      </c>
      <c r="J7" s="30">
        <v>22</v>
      </c>
      <c r="L7" s="30">
        <v>64</v>
      </c>
      <c r="N7" s="30">
        <v>25</v>
      </c>
      <c r="P7" s="30">
        <v>3</v>
      </c>
      <c r="R7" s="30">
        <v>41</v>
      </c>
      <c r="T7" s="30">
        <v>42</v>
      </c>
      <c r="V7" s="30">
        <v>22</v>
      </c>
      <c r="X7" s="30">
        <v>23</v>
      </c>
      <c r="AA7" s="30">
        <v>32</v>
      </c>
      <c r="AC7" s="30">
        <v>33</v>
      </c>
      <c r="AE7" s="30">
        <v>28</v>
      </c>
      <c r="AG7" s="30">
        <v>23</v>
      </c>
      <c r="AI7" s="30">
        <v>26</v>
      </c>
      <c r="AK7" s="30">
        <v>41</v>
      </c>
      <c r="AM7" s="30">
        <v>45</v>
      </c>
      <c r="AO7" s="30">
        <v>21</v>
      </c>
      <c r="AQ7" s="495">
        <v>18</v>
      </c>
      <c r="AS7" s="30">
        <v>13</v>
      </c>
      <c r="AU7">
        <v>40</v>
      </c>
      <c r="AW7" s="30">
        <v>0</v>
      </c>
      <c r="AY7" s="30">
        <v>0</v>
      </c>
      <c r="BA7" s="30">
        <v>21</v>
      </c>
      <c r="BC7" s="30">
        <v>87</v>
      </c>
      <c r="BE7" s="30">
        <v>54</v>
      </c>
      <c r="BG7" s="30">
        <v>93</v>
      </c>
      <c r="BI7" s="30">
        <v>15</v>
      </c>
      <c r="BK7" s="30">
        <v>8</v>
      </c>
      <c r="BM7" s="769">
        <v>49</v>
      </c>
      <c r="BO7" s="30">
        <v>80</v>
      </c>
      <c r="BQ7" s="30">
        <v>54</v>
      </c>
      <c r="BS7" s="30">
        <v>72</v>
      </c>
      <c r="BU7" s="30">
        <v>51</v>
      </c>
      <c r="BW7" s="30">
        <v>69</v>
      </c>
      <c r="CC7" s="30">
        <v>93</v>
      </c>
    </row>
    <row r="8" spans="2:98" x14ac:dyDescent="0.2">
      <c r="B8" s="30">
        <v>36</v>
      </c>
      <c r="D8" s="30">
        <v>29</v>
      </c>
      <c r="F8" s="30">
        <v>31</v>
      </c>
      <c r="G8" s="34"/>
      <c r="H8" s="30">
        <v>29</v>
      </c>
      <c r="J8" s="30">
        <v>0</v>
      </c>
      <c r="L8" s="30">
        <v>7</v>
      </c>
      <c r="N8" s="30">
        <v>95</v>
      </c>
      <c r="P8" s="30">
        <v>4</v>
      </c>
      <c r="R8" s="30">
        <v>96</v>
      </c>
      <c r="T8" s="30">
        <v>74</v>
      </c>
      <c r="V8" s="30">
        <v>20</v>
      </c>
      <c r="X8" s="30">
        <v>57</v>
      </c>
      <c r="AA8" s="30">
        <v>23</v>
      </c>
      <c r="AC8" s="30">
        <v>29</v>
      </c>
      <c r="AE8" s="30">
        <v>27</v>
      </c>
      <c r="AG8" s="30">
        <v>22</v>
      </c>
      <c r="AI8" s="30">
        <v>30</v>
      </c>
      <c r="AK8" s="30">
        <v>18</v>
      </c>
      <c r="AM8" s="30">
        <v>64</v>
      </c>
      <c r="AO8" s="30">
        <v>78</v>
      </c>
      <c r="AQ8" s="495">
        <v>30</v>
      </c>
      <c r="AS8" s="30">
        <v>4</v>
      </c>
      <c r="AU8">
        <v>13</v>
      </c>
      <c r="AW8" s="30">
        <v>8</v>
      </c>
      <c r="AY8" s="30">
        <v>8</v>
      </c>
      <c r="BA8" s="30">
        <v>1</v>
      </c>
      <c r="BC8" s="30">
        <v>40</v>
      </c>
      <c r="BE8" s="30">
        <v>22</v>
      </c>
      <c r="BG8" s="30">
        <v>72</v>
      </c>
      <c r="BI8" s="30">
        <v>90</v>
      </c>
      <c r="BK8" s="30">
        <v>76</v>
      </c>
      <c r="BM8" s="769">
        <v>20</v>
      </c>
      <c r="BO8" s="30">
        <v>47</v>
      </c>
      <c r="BQ8" s="30">
        <v>42</v>
      </c>
      <c r="BS8" s="30">
        <v>57</v>
      </c>
      <c r="BU8" s="30">
        <v>58</v>
      </c>
      <c r="BW8" s="30">
        <v>53</v>
      </c>
      <c r="CC8" s="30">
        <v>23</v>
      </c>
    </row>
    <row r="9" spans="2:98" x14ac:dyDescent="0.2">
      <c r="B9" s="30">
        <v>26</v>
      </c>
      <c r="D9" s="30">
        <v>40</v>
      </c>
      <c r="F9" s="30">
        <v>15</v>
      </c>
      <c r="G9" s="34"/>
      <c r="H9" s="30">
        <v>14</v>
      </c>
      <c r="J9" s="30">
        <v>38</v>
      </c>
      <c r="L9" s="30">
        <v>77</v>
      </c>
      <c r="N9" s="30">
        <v>5</v>
      </c>
      <c r="P9" s="30">
        <v>5</v>
      </c>
      <c r="R9" s="30">
        <v>95</v>
      </c>
      <c r="T9" s="30">
        <v>29</v>
      </c>
      <c r="V9" s="30">
        <v>71</v>
      </c>
      <c r="X9" s="30">
        <v>73</v>
      </c>
      <c r="AA9" s="30">
        <v>57</v>
      </c>
      <c r="AC9" s="30">
        <v>38</v>
      </c>
      <c r="AE9" s="30">
        <v>21</v>
      </c>
      <c r="AG9" s="30">
        <v>39</v>
      </c>
      <c r="AI9" s="30">
        <v>37</v>
      </c>
      <c r="AK9" s="30">
        <v>60</v>
      </c>
      <c r="AM9" s="30">
        <v>93</v>
      </c>
      <c r="AO9" s="30">
        <v>23</v>
      </c>
      <c r="AQ9" s="495">
        <v>35</v>
      </c>
      <c r="AS9" s="30">
        <v>15</v>
      </c>
      <c r="AU9">
        <v>6</v>
      </c>
      <c r="AW9" s="30">
        <v>39</v>
      </c>
      <c r="AY9" s="30">
        <v>39</v>
      </c>
      <c r="BA9" s="30">
        <v>62</v>
      </c>
      <c r="BC9" s="30">
        <v>53</v>
      </c>
      <c r="BE9" s="30">
        <v>26</v>
      </c>
      <c r="BG9" s="30">
        <v>12</v>
      </c>
      <c r="BI9" s="30">
        <v>71</v>
      </c>
      <c r="BK9" s="30">
        <v>9</v>
      </c>
      <c r="BM9" s="769">
        <v>40</v>
      </c>
      <c r="BO9" s="30">
        <v>0</v>
      </c>
      <c r="BQ9" s="30">
        <v>39</v>
      </c>
      <c r="BS9" s="30">
        <v>61</v>
      </c>
      <c r="BU9" s="30">
        <v>61</v>
      </c>
      <c r="BW9" s="30">
        <v>85</v>
      </c>
      <c r="CC9" s="30">
        <v>68</v>
      </c>
    </row>
    <row r="10" spans="2:98" x14ac:dyDescent="0.2">
      <c r="B10" s="30">
        <v>40</v>
      </c>
      <c r="D10" s="30">
        <v>50</v>
      </c>
      <c r="F10" s="30">
        <v>48</v>
      </c>
      <c r="G10" s="34"/>
      <c r="H10" s="30">
        <v>1</v>
      </c>
      <c r="J10" s="30">
        <v>63</v>
      </c>
      <c r="L10" s="30">
        <v>47</v>
      </c>
      <c r="N10" s="30">
        <v>52</v>
      </c>
      <c r="P10" s="30">
        <v>5</v>
      </c>
      <c r="R10" s="30">
        <v>41</v>
      </c>
      <c r="T10" s="30">
        <v>48</v>
      </c>
      <c r="V10" s="30">
        <v>17</v>
      </c>
      <c r="X10" s="30">
        <v>62</v>
      </c>
      <c r="AA10" s="30">
        <v>73</v>
      </c>
      <c r="AC10" s="30">
        <v>83</v>
      </c>
      <c r="AE10" s="30">
        <v>75</v>
      </c>
      <c r="AG10" s="30">
        <v>73</v>
      </c>
      <c r="AI10" s="30">
        <v>74</v>
      </c>
      <c r="AK10" s="30">
        <v>5</v>
      </c>
      <c r="AM10" s="30">
        <v>53</v>
      </c>
      <c r="AO10" s="30">
        <v>20</v>
      </c>
      <c r="AQ10" s="495">
        <v>77</v>
      </c>
      <c r="AS10" s="30">
        <v>69</v>
      </c>
      <c r="AU10">
        <v>49</v>
      </c>
      <c r="AW10" s="30">
        <v>32</v>
      </c>
      <c r="AY10" s="30">
        <v>32</v>
      </c>
      <c r="BA10" s="30">
        <v>29</v>
      </c>
      <c r="BC10" s="30">
        <v>21</v>
      </c>
      <c r="BE10" s="30">
        <v>46</v>
      </c>
      <c r="BG10" s="30">
        <v>59</v>
      </c>
      <c r="BI10" s="30">
        <v>45</v>
      </c>
      <c r="BK10" s="30">
        <v>29</v>
      </c>
      <c r="BM10" s="769">
        <v>81</v>
      </c>
      <c r="BO10" s="30">
        <v>34</v>
      </c>
      <c r="BQ10" s="30">
        <v>42</v>
      </c>
      <c r="BS10" s="30">
        <v>41</v>
      </c>
      <c r="BU10" s="30">
        <v>21</v>
      </c>
      <c r="BW10" s="30">
        <v>28</v>
      </c>
      <c r="CC10" s="30">
        <v>41</v>
      </c>
    </row>
    <row r="11" spans="2:98" x14ac:dyDescent="0.2">
      <c r="B11" s="30">
        <v>50</v>
      </c>
      <c r="D11" s="30">
        <v>66</v>
      </c>
      <c r="F11" s="30">
        <v>61</v>
      </c>
      <c r="G11" s="34"/>
      <c r="H11" s="30">
        <v>41</v>
      </c>
      <c r="J11" s="30">
        <v>38</v>
      </c>
      <c r="L11" s="30">
        <v>31</v>
      </c>
      <c r="N11" s="30">
        <v>61</v>
      </c>
      <c r="P11" s="30">
        <v>6</v>
      </c>
      <c r="R11" s="30">
        <v>89</v>
      </c>
      <c r="T11" s="30">
        <v>6</v>
      </c>
      <c r="V11" s="30">
        <v>28</v>
      </c>
      <c r="X11" s="30">
        <v>10</v>
      </c>
      <c r="AA11" s="30">
        <v>62</v>
      </c>
      <c r="AC11" s="30">
        <v>68</v>
      </c>
      <c r="AE11" s="30">
        <v>60</v>
      </c>
      <c r="AG11" s="30">
        <v>61</v>
      </c>
      <c r="AI11" s="30">
        <v>13</v>
      </c>
      <c r="AK11" s="30">
        <v>25</v>
      </c>
      <c r="AM11" s="30">
        <v>7</v>
      </c>
      <c r="AO11" s="30">
        <v>15</v>
      </c>
      <c r="AQ11" s="495">
        <v>64</v>
      </c>
      <c r="AS11" s="30">
        <v>45</v>
      </c>
      <c r="AU11">
        <v>49</v>
      </c>
      <c r="AW11" s="30">
        <v>13</v>
      </c>
      <c r="AY11" s="30">
        <v>13</v>
      </c>
      <c r="BA11" s="30">
        <v>42</v>
      </c>
      <c r="BC11" s="30">
        <v>32</v>
      </c>
      <c r="BE11" s="30">
        <v>57</v>
      </c>
      <c r="BG11" s="30">
        <v>30</v>
      </c>
      <c r="BI11" s="30">
        <v>4</v>
      </c>
      <c r="BK11" s="30">
        <v>12</v>
      </c>
      <c r="BM11" s="769">
        <v>66</v>
      </c>
      <c r="BO11" s="30">
        <v>11</v>
      </c>
      <c r="BQ11" s="30">
        <v>31</v>
      </c>
      <c r="BS11" s="30">
        <v>68</v>
      </c>
      <c r="BU11" s="30">
        <v>10</v>
      </c>
      <c r="BW11" s="30">
        <v>11</v>
      </c>
      <c r="CC11" s="30">
        <v>16</v>
      </c>
    </row>
    <row r="12" spans="2:98" x14ac:dyDescent="0.2">
      <c r="B12" s="30">
        <v>61</v>
      </c>
      <c r="D12" s="30">
        <v>99</v>
      </c>
      <c r="F12" s="30">
        <v>38</v>
      </c>
      <c r="G12" s="34"/>
      <c r="H12" s="30">
        <v>55</v>
      </c>
      <c r="J12" s="30">
        <v>4</v>
      </c>
      <c r="L12" s="30">
        <v>32</v>
      </c>
      <c r="N12" s="30">
        <v>33</v>
      </c>
      <c r="P12" s="30">
        <v>7</v>
      </c>
      <c r="R12" s="30">
        <v>5</v>
      </c>
      <c r="T12" s="30">
        <v>66</v>
      </c>
      <c r="V12" s="30">
        <v>66</v>
      </c>
      <c r="X12" s="30">
        <v>22</v>
      </c>
      <c r="AA12" s="30">
        <v>10</v>
      </c>
      <c r="AC12" s="30">
        <v>2</v>
      </c>
      <c r="AE12" s="30">
        <v>3</v>
      </c>
      <c r="AG12" s="30">
        <v>2</v>
      </c>
      <c r="AI12" s="30">
        <v>35</v>
      </c>
      <c r="AK12" s="30">
        <v>44</v>
      </c>
      <c r="AM12" s="30">
        <v>40</v>
      </c>
      <c r="AO12" s="30">
        <v>17</v>
      </c>
      <c r="AQ12" s="495">
        <v>11</v>
      </c>
      <c r="AS12" s="30">
        <v>13</v>
      </c>
      <c r="AU12">
        <v>12</v>
      </c>
      <c r="AW12" s="30">
        <v>1</v>
      </c>
      <c r="AY12" s="30">
        <v>1</v>
      </c>
      <c r="BA12" s="30">
        <v>25</v>
      </c>
      <c r="BC12" s="30">
        <v>24</v>
      </c>
      <c r="BE12" s="30">
        <v>94</v>
      </c>
      <c r="BG12" s="30">
        <v>58</v>
      </c>
      <c r="BI12" s="30">
        <v>53</v>
      </c>
      <c r="BK12" s="30">
        <v>50</v>
      </c>
      <c r="BM12" s="769">
        <v>11</v>
      </c>
      <c r="BO12" s="30">
        <v>88</v>
      </c>
      <c r="BQ12" s="30">
        <v>20</v>
      </c>
      <c r="BS12" s="30">
        <v>89</v>
      </c>
      <c r="BU12" s="30">
        <v>82</v>
      </c>
      <c r="BW12" s="30">
        <v>53</v>
      </c>
      <c r="CC12" s="30">
        <v>74</v>
      </c>
    </row>
    <row r="13" spans="2:98" x14ac:dyDescent="0.2">
      <c r="B13" s="30">
        <v>39</v>
      </c>
      <c r="D13" s="30">
        <v>36</v>
      </c>
      <c r="F13" s="30">
        <v>6</v>
      </c>
      <c r="G13" s="34"/>
      <c r="H13" s="30">
        <v>95</v>
      </c>
      <c r="J13" s="30">
        <v>65</v>
      </c>
      <c r="L13" s="30">
        <v>53</v>
      </c>
      <c r="N13" s="30">
        <v>34</v>
      </c>
      <c r="P13" s="30">
        <v>8</v>
      </c>
      <c r="R13" s="30">
        <v>61</v>
      </c>
      <c r="T13" s="30">
        <v>44</v>
      </c>
      <c r="V13" s="30">
        <v>39</v>
      </c>
      <c r="X13" s="30">
        <v>58</v>
      </c>
      <c r="AA13" s="30">
        <v>22</v>
      </c>
      <c r="AC13" s="30">
        <v>25</v>
      </c>
      <c r="AE13" s="30">
        <v>26</v>
      </c>
      <c r="AG13" s="30">
        <v>24</v>
      </c>
      <c r="AI13" s="30">
        <v>73</v>
      </c>
      <c r="AK13" s="30">
        <v>15</v>
      </c>
      <c r="AM13" s="30">
        <v>48</v>
      </c>
      <c r="AO13" s="30">
        <v>80</v>
      </c>
      <c r="AQ13" s="495">
        <v>47</v>
      </c>
      <c r="AS13" s="30">
        <v>61</v>
      </c>
      <c r="AU13">
        <v>89</v>
      </c>
      <c r="AW13" s="30">
        <v>3</v>
      </c>
      <c r="AY13" s="30">
        <v>3</v>
      </c>
      <c r="BA13" s="30">
        <v>36</v>
      </c>
      <c r="BC13" s="30">
        <v>39</v>
      </c>
      <c r="BE13" s="30">
        <v>23</v>
      </c>
      <c r="BG13" s="30">
        <v>60</v>
      </c>
      <c r="BI13" s="30">
        <v>27</v>
      </c>
      <c r="BK13" s="30">
        <v>94</v>
      </c>
      <c r="BM13" s="769">
        <v>70</v>
      </c>
      <c r="BO13" s="30">
        <v>64</v>
      </c>
      <c r="BQ13" s="30">
        <v>37</v>
      </c>
      <c r="BS13" s="30">
        <v>11</v>
      </c>
      <c r="BU13" s="30">
        <v>78</v>
      </c>
      <c r="BW13" s="30">
        <v>72</v>
      </c>
      <c r="CC13" s="30">
        <v>11</v>
      </c>
    </row>
    <row r="14" spans="2:98" x14ac:dyDescent="0.2">
      <c r="B14" s="30">
        <v>8</v>
      </c>
      <c r="D14" s="30">
        <v>8</v>
      </c>
      <c r="F14" s="30">
        <v>86</v>
      </c>
      <c r="G14" s="34"/>
      <c r="H14" s="30">
        <v>31</v>
      </c>
      <c r="J14" s="30">
        <v>13</v>
      </c>
      <c r="L14" s="30">
        <v>50</v>
      </c>
      <c r="N14" s="30">
        <v>52</v>
      </c>
      <c r="P14" s="30">
        <v>8</v>
      </c>
      <c r="R14" s="30">
        <v>61</v>
      </c>
      <c r="T14" s="30">
        <v>32</v>
      </c>
      <c r="V14" s="30">
        <v>29</v>
      </c>
      <c r="X14" s="30">
        <v>15</v>
      </c>
      <c r="AA14" s="30">
        <v>58</v>
      </c>
      <c r="AC14" s="30">
        <v>57</v>
      </c>
      <c r="AE14" s="30">
        <v>54</v>
      </c>
      <c r="AG14" s="30">
        <v>54</v>
      </c>
      <c r="AI14" s="30">
        <v>21</v>
      </c>
      <c r="AK14" s="30">
        <v>35</v>
      </c>
      <c r="AM14" s="30">
        <v>30</v>
      </c>
      <c r="AO14" s="30">
        <v>31</v>
      </c>
      <c r="AQ14" s="495">
        <v>51</v>
      </c>
      <c r="AS14" s="30">
        <v>44</v>
      </c>
      <c r="AU14">
        <v>55</v>
      </c>
      <c r="AW14" s="30">
        <v>9</v>
      </c>
      <c r="AY14" s="30">
        <v>9</v>
      </c>
      <c r="BA14" s="30">
        <v>2</v>
      </c>
      <c r="BC14" s="30">
        <v>81</v>
      </c>
      <c r="BE14" s="30">
        <v>44</v>
      </c>
      <c r="BG14" s="30">
        <v>43</v>
      </c>
      <c r="BI14" s="30">
        <v>87</v>
      </c>
      <c r="BK14" s="30">
        <v>40</v>
      </c>
      <c r="BM14" s="769">
        <v>40</v>
      </c>
      <c r="BO14" s="30">
        <v>20</v>
      </c>
      <c r="BQ14" s="30">
        <v>82</v>
      </c>
      <c r="BS14" s="30">
        <v>5</v>
      </c>
      <c r="BU14" s="30">
        <v>70</v>
      </c>
      <c r="BW14" s="30">
        <v>95</v>
      </c>
      <c r="CC14" s="30">
        <v>16</v>
      </c>
    </row>
    <row r="15" spans="2:98" x14ac:dyDescent="0.2">
      <c r="B15" s="30">
        <v>30</v>
      </c>
      <c r="D15" s="30">
        <v>26</v>
      </c>
      <c r="F15" s="30">
        <v>28</v>
      </c>
      <c r="G15" s="34"/>
      <c r="H15" s="30">
        <v>6</v>
      </c>
      <c r="J15" s="30">
        <v>57</v>
      </c>
      <c r="L15" s="30">
        <v>64</v>
      </c>
      <c r="N15" s="30">
        <v>62</v>
      </c>
      <c r="P15" s="30">
        <v>8</v>
      </c>
      <c r="R15" s="30">
        <v>26</v>
      </c>
      <c r="T15" s="30">
        <v>84</v>
      </c>
      <c r="V15" s="30">
        <v>38</v>
      </c>
      <c r="X15" s="30">
        <v>34</v>
      </c>
      <c r="AA15" s="30">
        <v>15</v>
      </c>
      <c r="AC15" s="30">
        <v>44</v>
      </c>
      <c r="AE15" s="30">
        <v>10</v>
      </c>
      <c r="AG15" s="30">
        <v>17</v>
      </c>
      <c r="AI15" s="30">
        <v>26</v>
      </c>
      <c r="AK15" s="30">
        <v>12</v>
      </c>
      <c r="AM15" s="30">
        <v>42</v>
      </c>
      <c r="AO15" s="30">
        <v>62</v>
      </c>
      <c r="AQ15" s="495">
        <v>18</v>
      </c>
      <c r="AS15" s="30">
        <v>9</v>
      </c>
      <c r="AU15">
        <v>23</v>
      </c>
      <c r="AW15" s="30">
        <v>17</v>
      </c>
      <c r="AY15" s="30">
        <v>17</v>
      </c>
      <c r="BA15" s="30">
        <v>24</v>
      </c>
      <c r="BC15" s="30">
        <v>43</v>
      </c>
      <c r="BE15" s="30">
        <v>12</v>
      </c>
      <c r="BG15" s="30">
        <v>92</v>
      </c>
      <c r="BI15" s="30">
        <v>31</v>
      </c>
      <c r="BK15" s="30">
        <v>4</v>
      </c>
      <c r="BM15" s="769">
        <v>1</v>
      </c>
      <c r="BO15" s="30">
        <v>10</v>
      </c>
      <c r="BQ15" s="30">
        <v>100</v>
      </c>
      <c r="BS15" s="30">
        <v>71</v>
      </c>
      <c r="BU15" s="30">
        <v>88</v>
      </c>
      <c r="BW15" s="30">
        <v>63</v>
      </c>
      <c r="CC15" s="30">
        <v>25</v>
      </c>
    </row>
    <row r="16" spans="2:98" x14ac:dyDescent="0.2">
      <c r="B16" s="30">
        <v>52</v>
      </c>
      <c r="D16" s="30">
        <v>78</v>
      </c>
      <c r="F16" s="30">
        <v>91</v>
      </c>
      <c r="G16" s="34"/>
      <c r="H16" s="30">
        <v>61</v>
      </c>
      <c r="J16" s="30">
        <v>76</v>
      </c>
      <c r="L16" s="30">
        <v>18</v>
      </c>
      <c r="N16" s="30">
        <v>76</v>
      </c>
      <c r="P16" s="30">
        <v>8</v>
      </c>
      <c r="R16" s="30">
        <v>34</v>
      </c>
      <c r="T16" s="30">
        <v>12</v>
      </c>
      <c r="V16" s="30">
        <v>59</v>
      </c>
      <c r="X16" s="30">
        <v>29</v>
      </c>
      <c r="AA16" s="30">
        <v>34</v>
      </c>
      <c r="AC16" s="30">
        <v>58</v>
      </c>
      <c r="AE16" s="30">
        <v>27</v>
      </c>
      <c r="AG16" s="30">
        <v>21</v>
      </c>
      <c r="AI16" s="30">
        <v>51</v>
      </c>
      <c r="AK16" s="30">
        <v>92</v>
      </c>
      <c r="AM16" s="30">
        <v>90</v>
      </c>
      <c r="AO16" s="30">
        <v>66</v>
      </c>
      <c r="AQ16" s="495">
        <v>38</v>
      </c>
      <c r="AS16" s="30">
        <v>55</v>
      </c>
      <c r="AU16">
        <v>48</v>
      </c>
      <c r="AW16" s="30">
        <v>41</v>
      </c>
      <c r="AY16" s="30">
        <v>41</v>
      </c>
      <c r="BA16" s="30">
        <v>22</v>
      </c>
      <c r="BC16" s="30">
        <v>57</v>
      </c>
      <c r="BE16" s="30">
        <v>93</v>
      </c>
      <c r="BG16" s="30">
        <v>53</v>
      </c>
      <c r="BI16" s="30">
        <v>8</v>
      </c>
      <c r="BK16" s="30">
        <v>76</v>
      </c>
      <c r="BM16" s="769">
        <v>24</v>
      </c>
      <c r="BO16" s="30">
        <v>73</v>
      </c>
      <c r="BQ16" s="30">
        <v>14</v>
      </c>
      <c r="BS16" s="30">
        <v>3</v>
      </c>
      <c r="BU16" s="30">
        <v>59</v>
      </c>
      <c r="BW16" s="30">
        <v>6</v>
      </c>
      <c r="CC16" s="30">
        <v>81</v>
      </c>
    </row>
    <row r="17" spans="2:81" x14ac:dyDescent="0.2">
      <c r="B17" s="30">
        <v>81</v>
      </c>
      <c r="D17" s="30">
        <v>56</v>
      </c>
      <c r="F17" s="30">
        <v>58</v>
      </c>
      <c r="G17" s="34"/>
      <c r="H17" s="30">
        <v>23</v>
      </c>
      <c r="J17" s="30">
        <v>37</v>
      </c>
      <c r="L17" s="30">
        <v>42</v>
      </c>
      <c r="N17" s="30">
        <v>63</v>
      </c>
      <c r="P17" s="30">
        <v>9</v>
      </c>
      <c r="R17" s="30">
        <v>80</v>
      </c>
      <c r="T17" s="30">
        <v>63</v>
      </c>
      <c r="V17" s="30">
        <v>41</v>
      </c>
      <c r="X17" s="30">
        <v>68</v>
      </c>
      <c r="AA17" s="30">
        <v>29</v>
      </c>
      <c r="AC17" s="30">
        <v>75</v>
      </c>
      <c r="AE17" s="30">
        <v>55</v>
      </c>
      <c r="AG17" s="30">
        <v>55</v>
      </c>
      <c r="AI17" s="30">
        <v>59</v>
      </c>
      <c r="AK17" s="30">
        <v>86</v>
      </c>
      <c r="AM17" s="30">
        <v>95</v>
      </c>
      <c r="AO17" s="30">
        <v>0</v>
      </c>
      <c r="AQ17" s="495">
        <v>95</v>
      </c>
      <c r="AS17" s="30">
        <v>7</v>
      </c>
      <c r="AU17">
        <v>84</v>
      </c>
      <c r="AW17" s="30">
        <v>13</v>
      </c>
      <c r="AY17" s="30">
        <v>13</v>
      </c>
      <c r="BA17" s="30">
        <v>12</v>
      </c>
      <c r="BC17" s="30">
        <v>14</v>
      </c>
      <c r="BE17" s="30">
        <v>85</v>
      </c>
      <c r="BG17" s="30">
        <v>47</v>
      </c>
      <c r="BI17" s="30">
        <v>4</v>
      </c>
      <c r="BK17" s="30">
        <v>87</v>
      </c>
      <c r="BM17" s="769">
        <v>75</v>
      </c>
      <c r="BO17" s="30">
        <v>15</v>
      </c>
      <c r="BQ17" s="30">
        <v>8</v>
      </c>
      <c r="BS17" s="30">
        <v>81</v>
      </c>
      <c r="BU17" s="30">
        <v>32</v>
      </c>
      <c r="BW17" s="30">
        <v>72</v>
      </c>
      <c r="CC17" s="30">
        <v>67</v>
      </c>
    </row>
    <row r="18" spans="2:81" x14ac:dyDescent="0.2">
      <c r="B18" s="30">
        <v>35</v>
      </c>
      <c r="D18" s="30">
        <v>87</v>
      </c>
      <c r="F18" s="30">
        <v>84</v>
      </c>
      <c r="G18" s="34"/>
      <c r="H18" s="30">
        <v>87</v>
      </c>
      <c r="J18" s="30">
        <v>22</v>
      </c>
      <c r="L18" s="30">
        <v>13</v>
      </c>
      <c r="N18" s="30">
        <v>35</v>
      </c>
      <c r="P18" s="30">
        <v>10</v>
      </c>
      <c r="R18" s="30">
        <v>13</v>
      </c>
      <c r="T18" s="30">
        <v>37</v>
      </c>
      <c r="V18" s="30">
        <v>39</v>
      </c>
      <c r="X18" s="30">
        <v>62</v>
      </c>
      <c r="AA18" s="30">
        <v>68</v>
      </c>
      <c r="AC18" s="30">
        <v>51</v>
      </c>
      <c r="AE18" s="30">
        <v>75</v>
      </c>
      <c r="AG18" s="30">
        <v>79</v>
      </c>
      <c r="AI18" s="30">
        <v>82</v>
      </c>
      <c r="AK18" s="30">
        <v>43</v>
      </c>
      <c r="AM18" s="30">
        <v>58</v>
      </c>
      <c r="AO18" s="30">
        <v>9</v>
      </c>
      <c r="AQ18" s="495">
        <v>86</v>
      </c>
      <c r="AS18" s="30">
        <v>94</v>
      </c>
      <c r="AU18">
        <v>71</v>
      </c>
      <c r="AW18" s="30">
        <v>9</v>
      </c>
      <c r="AY18" s="30">
        <v>9</v>
      </c>
      <c r="BA18" s="30">
        <v>16</v>
      </c>
      <c r="BC18" s="30">
        <v>52</v>
      </c>
      <c r="BE18" s="30">
        <v>60</v>
      </c>
      <c r="BG18" s="30">
        <v>6</v>
      </c>
      <c r="BI18" s="30">
        <v>88</v>
      </c>
      <c r="BK18" s="30">
        <v>48</v>
      </c>
      <c r="BM18" s="769">
        <v>20</v>
      </c>
      <c r="BO18" s="30">
        <v>64</v>
      </c>
      <c r="BQ18" s="30">
        <v>67</v>
      </c>
      <c r="BS18" s="30">
        <v>5</v>
      </c>
      <c r="BU18" s="30">
        <v>2</v>
      </c>
      <c r="BW18" s="30">
        <v>35</v>
      </c>
      <c r="CC18" s="30">
        <v>78</v>
      </c>
    </row>
    <row r="19" spans="2:81" x14ac:dyDescent="0.2">
      <c r="B19" s="30">
        <v>31</v>
      </c>
      <c r="D19" s="30">
        <v>47</v>
      </c>
      <c r="F19" s="30">
        <v>37</v>
      </c>
      <c r="G19" s="34"/>
      <c r="H19" s="30">
        <v>51</v>
      </c>
      <c r="J19" s="30">
        <v>28</v>
      </c>
      <c r="L19" s="30">
        <v>66</v>
      </c>
      <c r="N19" s="30">
        <v>23</v>
      </c>
      <c r="P19" s="30">
        <v>11</v>
      </c>
      <c r="R19" s="30">
        <v>38</v>
      </c>
      <c r="T19" s="30">
        <v>3</v>
      </c>
      <c r="V19" s="30">
        <v>17</v>
      </c>
      <c r="X19" s="30">
        <v>41</v>
      </c>
      <c r="AA19" s="30">
        <v>62</v>
      </c>
      <c r="AC19" s="30">
        <v>73</v>
      </c>
      <c r="AE19" s="30">
        <v>64</v>
      </c>
      <c r="AG19" s="30">
        <v>73</v>
      </c>
      <c r="AI19" s="30">
        <v>25</v>
      </c>
      <c r="AK19" s="30">
        <v>57</v>
      </c>
      <c r="AM19" s="30">
        <v>69</v>
      </c>
      <c r="AO19" s="30">
        <v>38</v>
      </c>
      <c r="AQ19" s="495">
        <v>27</v>
      </c>
      <c r="AS19" s="30">
        <v>71</v>
      </c>
      <c r="AU19">
        <v>5</v>
      </c>
      <c r="AW19" s="30">
        <v>6</v>
      </c>
      <c r="AY19" s="30">
        <v>6</v>
      </c>
      <c r="BA19" s="30">
        <v>66</v>
      </c>
      <c r="BC19" s="30">
        <v>15</v>
      </c>
      <c r="BE19" s="30">
        <v>55</v>
      </c>
      <c r="BG19" s="30">
        <v>57</v>
      </c>
      <c r="BI19" s="30">
        <v>78</v>
      </c>
      <c r="BK19" s="30">
        <v>91</v>
      </c>
      <c r="BM19" s="769">
        <v>73</v>
      </c>
      <c r="BO19" s="30">
        <v>1</v>
      </c>
      <c r="BQ19" s="30">
        <v>29</v>
      </c>
      <c r="BS19" s="30">
        <v>6</v>
      </c>
      <c r="BU19" s="30">
        <v>51</v>
      </c>
      <c r="BW19" s="30">
        <v>38</v>
      </c>
      <c r="CC19" s="30">
        <v>47</v>
      </c>
    </row>
    <row r="20" spans="2:81" x14ac:dyDescent="0.2">
      <c r="B20" s="30">
        <v>52</v>
      </c>
      <c r="D20" s="30">
        <v>32</v>
      </c>
      <c r="F20" s="30">
        <v>13</v>
      </c>
      <c r="G20" s="34"/>
      <c r="H20" s="30">
        <v>71</v>
      </c>
      <c r="J20" s="30">
        <v>2</v>
      </c>
      <c r="L20" s="30">
        <v>42</v>
      </c>
      <c r="N20" s="30">
        <v>82</v>
      </c>
      <c r="P20" s="30">
        <v>11</v>
      </c>
      <c r="R20" s="30">
        <v>43</v>
      </c>
      <c r="T20" s="30">
        <v>92</v>
      </c>
      <c r="V20" s="30">
        <v>37</v>
      </c>
      <c r="X20" s="30">
        <v>16</v>
      </c>
      <c r="AA20" s="30">
        <v>41</v>
      </c>
      <c r="AC20" s="30">
        <v>46</v>
      </c>
      <c r="AE20" s="30">
        <v>44</v>
      </c>
      <c r="AG20" s="30">
        <v>54</v>
      </c>
      <c r="AI20" s="30">
        <v>61</v>
      </c>
      <c r="AK20" s="30">
        <v>10</v>
      </c>
      <c r="AM20" s="30">
        <v>14</v>
      </c>
      <c r="AO20" s="30">
        <v>66</v>
      </c>
      <c r="AQ20" s="495">
        <v>56</v>
      </c>
      <c r="AS20" s="30">
        <v>72</v>
      </c>
      <c r="AU20">
        <v>18</v>
      </c>
      <c r="AW20" s="30">
        <v>43</v>
      </c>
      <c r="AY20" s="30">
        <v>43</v>
      </c>
      <c r="BA20" s="30">
        <v>48</v>
      </c>
      <c r="BC20" s="30">
        <v>35</v>
      </c>
      <c r="BE20" s="30">
        <v>44</v>
      </c>
      <c r="BG20" s="30">
        <v>70</v>
      </c>
      <c r="BI20" s="30">
        <v>66</v>
      </c>
      <c r="BK20" s="30">
        <v>1</v>
      </c>
      <c r="BM20" s="769">
        <v>42</v>
      </c>
      <c r="BO20" s="30">
        <v>14</v>
      </c>
      <c r="BQ20" s="30">
        <v>51</v>
      </c>
      <c r="BS20" s="30">
        <v>34</v>
      </c>
      <c r="BU20" s="30">
        <v>37</v>
      </c>
      <c r="BW20" s="30">
        <v>2</v>
      </c>
      <c r="CC20" s="30">
        <v>90</v>
      </c>
    </row>
    <row r="21" spans="2:81" x14ac:dyDescent="0.2">
      <c r="B21" s="30">
        <v>42</v>
      </c>
      <c r="D21" s="30">
        <v>27</v>
      </c>
      <c r="F21" s="30">
        <v>13</v>
      </c>
      <c r="G21" s="34"/>
      <c r="H21" s="30">
        <v>37</v>
      </c>
      <c r="J21" s="30">
        <v>36</v>
      </c>
      <c r="L21" s="30">
        <v>36</v>
      </c>
      <c r="N21" s="30">
        <v>42</v>
      </c>
      <c r="P21" s="30">
        <v>11</v>
      </c>
      <c r="R21" s="30">
        <v>1</v>
      </c>
      <c r="T21" s="30">
        <v>14</v>
      </c>
      <c r="V21" s="30">
        <v>50</v>
      </c>
      <c r="X21" s="30">
        <v>32</v>
      </c>
      <c r="AA21" s="30">
        <v>16</v>
      </c>
      <c r="AC21" s="30">
        <v>5</v>
      </c>
      <c r="AE21" s="30">
        <v>69</v>
      </c>
      <c r="AG21" s="30">
        <v>69</v>
      </c>
      <c r="AI21" s="30">
        <v>8</v>
      </c>
      <c r="AK21" s="30">
        <v>47</v>
      </c>
      <c r="AM21" s="30">
        <v>54</v>
      </c>
      <c r="AO21" s="30">
        <v>14</v>
      </c>
      <c r="AQ21" s="495">
        <v>19</v>
      </c>
      <c r="AS21" s="30">
        <v>49</v>
      </c>
      <c r="AU21">
        <v>92</v>
      </c>
      <c r="AW21" s="30">
        <v>71</v>
      </c>
      <c r="AY21" s="30">
        <v>71</v>
      </c>
      <c r="BA21" s="30">
        <v>56</v>
      </c>
      <c r="BC21" s="30">
        <v>4</v>
      </c>
      <c r="BE21" s="30">
        <v>57</v>
      </c>
      <c r="BG21" s="30">
        <v>66</v>
      </c>
      <c r="BI21" s="30">
        <v>3</v>
      </c>
      <c r="BK21" s="30">
        <v>76</v>
      </c>
      <c r="BM21" s="769">
        <v>6</v>
      </c>
      <c r="BO21" s="30">
        <v>99</v>
      </c>
      <c r="BQ21" s="30">
        <v>83</v>
      </c>
      <c r="BS21" s="30">
        <v>13</v>
      </c>
      <c r="BU21" s="30">
        <v>84</v>
      </c>
      <c r="BW21" s="30">
        <v>43</v>
      </c>
      <c r="CC21" s="30">
        <v>27</v>
      </c>
    </row>
    <row r="22" spans="2:81" x14ac:dyDescent="0.2">
      <c r="B22" s="30">
        <v>33</v>
      </c>
      <c r="D22" s="30">
        <v>46</v>
      </c>
      <c r="F22" s="30">
        <v>24</v>
      </c>
      <c r="G22" s="34"/>
      <c r="H22" s="30">
        <v>25</v>
      </c>
      <c r="J22" s="30">
        <v>68</v>
      </c>
      <c r="L22" s="30">
        <v>86</v>
      </c>
      <c r="N22" s="30">
        <v>37</v>
      </c>
      <c r="P22" s="30">
        <v>12</v>
      </c>
      <c r="R22" s="30">
        <v>97</v>
      </c>
      <c r="T22" s="30">
        <v>15</v>
      </c>
      <c r="V22" s="30">
        <v>16</v>
      </c>
      <c r="X22" s="30">
        <v>51</v>
      </c>
      <c r="AA22" s="30">
        <v>32</v>
      </c>
      <c r="AC22" s="30">
        <v>37</v>
      </c>
      <c r="AE22" s="30">
        <v>27</v>
      </c>
      <c r="AG22" s="30">
        <v>22</v>
      </c>
      <c r="AI22" s="30">
        <v>26</v>
      </c>
      <c r="AK22" s="30">
        <v>76</v>
      </c>
      <c r="AM22" s="30">
        <v>80</v>
      </c>
      <c r="AO22" s="30">
        <v>75</v>
      </c>
      <c r="AQ22" s="495">
        <v>42</v>
      </c>
      <c r="AS22" s="30">
        <v>84</v>
      </c>
      <c r="AU22">
        <v>15</v>
      </c>
      <c r="AW22" s="30">
        <v>2</v>
      </c>
      <c r="AY22" s="30">
        <v>2</v>
      </c>
      <c r="BA22" s="30">
        <v>5</v>
      </c>
      <c r="BC22" s="30">
        <v>94</v>
      </c>
      <c r="BE22" s="30">
        <v>3</v>
      </c>
      <c r="BG22" s="30">
        <v>92</v>
      </c>
      <c r="BI22" s="30">
        <v>79</v>
      </c>
      <c r="BK22" s="30">
        <v>70</v>
      </c>
      <c r="BM22" s="769">
        <v>62</v>
      </c>
      <c r="BO22" s="30">
        <v>46</v>
      </c>
      <c r="BQ22" s="30">
        <v>24</v>
      </c>
      <c r="BS22" s="30">
        <v>35</v>
      </c>
      <c r="BU22" s="30">
        <v>66</v>
      </c>
      <c r="BW22" s="30">
        <v>60</v>
      </c>
      <c r="CC22" s="30">
        <v>47</v>
      </c>
    </row>
    <row r="23" spans="2:81" x14ac:dyDescent="0.2">
      <c r="B23" s="30">
        <v>81</v>
      </c>
      <c r="D23" s="30">
        <v>45</v>
      </c>
      <c r="F23" s="30">
        <v>27</v>
      </c>
      <c r="G23" s="34"/>
      <c r="H23" s="30">
        <v>43</v>
      </c>
      <c r="J23" s="30">
        <v>89</v>
      </c>
      <c r="L23" s="30">
        <v>26</v>
      </c>
      <c r="N23" s="30">
        <v>73</v>
      </c>
      <c r="P23" s="30">
        <v>12</v>
      </c>
      <c r="R23" s="30">
        <v>30</v>
      </c>
      <c r="T23" s="30">
        <v>47</v>
      </c>
      <c r="V23" s="30">
        <v>32</v>
      </c>
      <c r="X23" s="30">
        <v>25</v>
      </c>
      <c r="AA23" s="30">
        <v>51</v>
      </c>
      <c r="AC23" s="30">
        <v>56</v>
      </c>
      <c r="AE23" s="30">
        <v>40</v>
      </c>
      <c r="AG23" s="30">
        <v>29</v>
      </c>
      <c r="AI23" s="30">
        <v>34</v>
      </c>
      <c r="AK23" s="30">
        <v>15</v>
      </c>
      <c r="AM23" s="30">
        <v>19</v>
      </c>
      <c r="AO23" s="30">
        <v>87</v>
      </c>
      <c r="AQ23" s="495">
        <v>100</v>
      </c>
      <c r="AS23" s="30">
        <v>60</v>
      </c>
      <c r="AU23">
        <v>15</v>
      </c>
      <c r="AW23" s="30">
        <v>11</v>
      </c>
      <c r="AY23" s="30">
        <v>11</v>
      </c>
      <c r="BA23" s="30">
        <v>2</v>
      </c>
      <c r="BC23" s="30">
        <v>97</v>
      </c>
      <c r="BE23" s="30">
        <v>18</v>
      </c>
      <c r="BG23" s="30">
        <v>8</v>
      </c>
      <c r="BI23" s="30">
        <v>17</v>
      </c>
      <c r="BK23" s="30">
        <v>51</v>
      </c>
      <c r="BM23" s="769">
        <v>16</v>
      </c>
      <c r="BO23" s="30">
        <v>74</v>
      </c>
      <c r="BQ23" s="30">
        <v>10</v>
      </c>
      <c r="BS23" s="30">
        <v>55</v>
      </c>
      <c r="BU23" s="30">
        <v>91</v>
      </c>
      <c r="BW23" s="30">
        <v>81</v>
      </c>
      <c r="CC23" s="30">
        <v>81</v>
      </c>
    </row>
    <row r="24" spans="2:81" x14ac:dyDescent="0.2">
      <c r="B24" s="30">
        <v>10</v>
      </c>
      <c r="D24" s="30">
        <v>89</v>
      </c>
      <c r="F24" s="30">
        <v>71</v>
      </c>
      <c r="G24" s="34"/>
      <c r="H24" s="30">
        <v>19</v>
      </c>
      <c r="J24" s="30">
        <v>92</v>
      </c>
      <c r="L24" s="30">
        <v>67</v>
      </c>
      <c r="N24" s="30">
        <v>15</v>
      </c>
      <c r="P24" s="30">
        <v>12</v>
      </c>
      <c r="R24" s="30">
        <v>10</v>
      </c>
      <c r="T24" s="30">
        <v>34</v>
      </c>
      <c r="V24" s="30">
        <v>44</v>
      </c>
      <c r="X24" s="30">
        <v>35</v>
      </c>
      <c r="AA24" s="30">
        <v>25</v>
      </c>
      <c r="AC24" s="30">
        <v>25</v>
      </c>
      <c r="AE24" s="30">
        <v>70</v>
      </c>
      <c r="AG24" s="30">
        <v>80</v>
      </c>
      <c r="AI24" s="30">
        <v>40</v>
      </c>
      <c r="AK24" s="30">
        <v>20</v>
      </c>
      <c r="AM24" s="30">
        <v>21</v>
      </c>
      <c r="AO24" s="30">
        <v>75</v>
      </c>
      <c r="AQ24" s="495">
        <v>20</v>
      </c>
      <c r="AS24" s="30">
        <v>32</v>
      </c>
      <c r="AU24">
        <v>44</v>
      </c>
      <c r="AW24" s="30">
        <v>92</v>
      </c>
      <c r="AY24" s="30">
        <v>92</v>
      </c>
      <c r="BA24" s="30">
        <v>10</v>
      </c>
      <c r="BC24" s="30">
        <v>54</v>
      </c>
      <c r="BE24" s="30">
        <v>3</v>
      </c>
      <c r="BG24" s="30">
        <v>43</v>
      </c>
      <c r="BI24" s="30">
        <v>32</v>
      </c>
      <c r="BK24" s="30">
        <v>61</v>
      </c>
      <c r="BM24" s="769">
        <v>77</v>
      </c>
      <c r="BO24" s="30">
        <v>46</v>
      </c>
      <c r="BQ24" s="30">
        <v>51</v>
      </c>
      <c r="BS24" s="30">
        <v>43</v>
      </c>
      <c r="BU24" s="30">
        <v>93</v>
      </c>
      <c r="BW24" s="30">
        <v>75</v>
      </c>
      <c r="CC24" s="30">
        <v>91</v>
      </c>
    </row>
    <row r="25" spans="2:81" x14ac:dyDescent="0.2">
      <c r="B25" s="30">
        <v>30</v>
      </c>
      <c r="D25" s="30">
        <v>10</v>
      </c>
      <c r="F25" s="30">
        <v>8</v>
      </c>
      <c r="G25" s="34"/>
      <c r="H25" s="30">
        <v>76</v>
      </c>
      <c r="J25" s="30">
        <v>5</v>
      </c>
      <c r="L25" s="30">
        <v>24</v>
      </c>
      <c r="N25" s="30">
        <v>61</v>
      </c>
      <c r="P25" s="30">
        <v>12</v>
      </c>
      <c r="R25" s="30">
        <v>53</v>
      </c>
      <c r="T25" s="30">
        <v>20</v>
      </c>
      <c r="V25" s="30">
        <v>5</v>
      </c>
      <c r="X25" s="30">
        <v>72</v>
      </c>
      <c r="AA25" s="30">
        <v>35</v>
      </c>
      <c r="AC25" s="30">
        <v>44</v>
      </c>
      <c r="AE25" s="30">
        <v>2</v>
      </c>
      <c r="AG25" s="30">
        <v>4</v>
      </c>
      <c r="AI25" s="30">
        <v>38</v>
      </c>
      <c r="AK25" s="30">
        <v>36</v>
      </c>
      <c r="AM25" s="30">
        <v>26</v>
      </c>
      <c r="AO25" s="30">
        <v>34</v>
      </c>
      <c r="AQ25" s="495">
        <v>25</v>
      </c>
      <c r="AS25" s="30">
        <v>0</v>
      </c>
      <c r="AU25">
        <v>13</v>
      </c>
      <c r="AW25" s="30">
        <v>33</v>
      </c>
      <c r="AY25" s="30">
        <v>33</v>
      </c>
      <c r="BA25" s="30">
        <v>78</v>
      </c>
      <c r="BC25" s="30">
        <v>13</v>
      </c>
      <c r="BE25" s="30">
        <v>28</v>
      </c>
      <c r="BG25" s="30">
        <v>16</v>
      </c>
      <c r="BI25" s="30">
        <v>77</v>
      </c>
      <c r="BK25" s="30">
        <v>31</v>
      </c>
      <c r="BM25" s="769">
        <v>54</v>
      </c>
      <c r="BO25" s="30">
        <v>49</v>
      </c>
      <c r="BQ25" s="30">
        <v>84</v>
      </c>
      <c r="BS25" s="30">
        <v>55</v>
      </c>
      <c r="BU25" s="30">
        <v>46</v>
      </c>
      <c r="BW25" s="30">
        <v>45</v>
      </c>
      <c r="CC25" s="30">
        <v>91</v>
      </c>
    </row>
    <row r="26" spans="2:81" x14ac:dyDescent="0.2">
      <c r="B26" s="30">
        <v>82</v>
      </c>
      <c r="D26" s="30">
        <v>38</v>
      </c>
      <c r="F26" s="30">
        <v>33</v>
      </c>
      <c r="G26" s="34"/>
      <c r="H26" s="30">
        <v>6</v>
      </c>
      <c r="J26" s="30">
        <v>50</v>
      </c>
      <c r="L26" s="30">
        <v>5</v>
      </c>
      <c r="N26" s="30">
        <v>15</v>
      </c>
      <c r="P26" s="30">
        <v>12</v>
      </c>
      <c r="R26" s="30">
        <v>39</v>
      </c>
      <c r="T26" s="30">
        <v>13</v>
      </c>
      <c r="V26" s="30">
        <v>91</v>
      </c>
      <c r="X26" s="30">
        <v>65</v>
      </c>
      <c r="AA26" s="30">
        <v>72</v>
      </c>
      <c r="AC26" s="30">
        <v>38</v>
      </c>
      <c r="AE26" s="30">
        <v>23</v>
      </c>
      <c r="AG26" s="30">
        <v>23</v>
      </c>
      <c r="AI26" s="30">
        <v>88</v>
      </c>
      <c r="AK26" s="30">
        <v>30</v>
      </c>
      <c r="AM26" s="30">
        <v>36</v>
      </c>
      <c r="AO26" s="30">
        <v>71</v>
      </c>
      <c r="AQ26" s="495">
        <v>28</v>
      </c>
      <c r="AS26" s="30">
        <v>18</v>
      </c>
      <c r="AU26">
        <v>98</v>
      </c>
      <c r="AW26" s="30">
        <v>31</v>
      </c>
      <c r="AY26" s="30">
        <v>31</v>
      </c>
      <c r="BA26" s="30">
        <v>11</v>
      </c>
      <c r="BC26" s="30">
        <v>40</v>
      </c>
      <c r="BE26" s="30">
        <v>68</v>
      </c>
      <c r="BG26" s="30">
        <v>59</v>
      </c>
      <c r="BI26" s="30">
        <v>30</v>
      </c>
      <c r="BK26" s="30">
        <v>93</v>
      </c>
      <c r="BM26" s="769">
        <v>96</v>
      </c>
      <c r="BO26" s="30">
        <v>51</v>
      </c>
      <c r="BQ26" s="30">
        <v>10</v>
      </c>
      <c r="BS26" s="30">
        <v>90</v>
      </c>
      <c r="BU26" s="30">
        <v>51</v>
      </c>
      <c r="BW26" s="30">
        <v>79</v>
      </c>
      <c r="CC26" s="30">
        <v>79</v>
      </c>
    </row>
    <row r="27" spans="2:81" x14ac:dyDescent="0.2">
      <c r="B27" s="30">
        <v>53</v>
      </c>
      <c r="D27" s="30">
        <v>93</v>
      </c>
      <c r="F27" s="30">
        <v>74</v>
      </c>
      <c r="G27" s="34"/>
      <c r="H27" s="30">
        <v>30</v>
      </c>
      <c r="J27" s="30">
        <v>28</v>
      </c>
      <c r="L27" s="30">
        <v>59</v>
      </c>
      <c r="N27" s="30">
        <v>20</v>
      </c>
      <c r="P27" s="30">
        <v>12</v>
      </c>
      <c r="R27" s="30">
        <v>21</v>
      </c>
      <c r="T27" s="30">
        <v>66</v>
      </c>
      <c r="V27" s="30">
        <v>10</v>
      </c>
      <c r="X27" s="30">
        <v>39</v>
      </c>
      <c r="AA27" s="30">
        <v>65</v>
      </c>
      <c r="AC27" s="30">
        <v>81</v>
      </c>
      <c r="AE27" s="30">
        <v>81</v>
      </c>
      <c r="AG27" s="30">
        <v>79</v>
      </c>
      <c r="AI27" s="30">
        <v>69</v>
      </c>
      <c r="AK27" s="30">
        <v>31</v>
      </c>
      <c r="AM27" s="30">
        <v>35</v>
      </c>
      <c r="AO27" s="30">
        <v>69</v>
      </c>
      <c r="AQ27" s="495">
        <v>42</v>
      </c>
      <c r="AS27" s="30">
        <v>40</v>
      </c>
      <c r="AU27">
        <v>47</v>
      </c>
      <c r="AW27" s="30">
        <v>29</v>
      </c>
      <c r="AY27" s="30">
        <v>29</v>
      </c>
      <c r="BA27" s="30">
        <v>12</v>
      </c>
      <c r="BC27" s="30">
        <v>46</v>
      </c>
      <c r="BE27" s="30">
        <v>36</v>
      </c>
      <c r="BG27" s="30">
        <v>6</v>
      </c>
      <c r="BI27" s="30">
        <v>84</v>
      </c>
      <c r="BK27" s="30">
        <v>9</v>
      </c>
      <c r="BM27" s="769">
        <v>100</v>
      </c>
      <c r="BO27" s="30">
        <v>81</v>
      </c>
      <c r="BQ27" s="30">
        <v>37</v>
      </c>
      <c r="BS27" s="30">
        <v>91</v>
      </c>
      <c r="BU27" s="30">
        <v>14</v>
      </c>
      <c r="BW27" s="30">
        <v>67</v>
      </c>
      <c r="CC27" s="30">
        <v>78</v>
      </c>
    </row>
    <row r="28" spans="2:81" x14ac:dyDescent="0.2">
      <c r="B28" s="30">
        <v>75</v>
      </c>
      <c r="D28" s="30">
        <v>59</v>
      </c>
      <c r="F28" s="30">
        <v>59</v>
      </c>
      <c r="G28" s="34"/>
      <c r="H28" s="30">
        <v>92</v>
      </c>
      <c r="J28" s="30">
        <v>59</v>
      </c>
      <c r="L28" s="30">
        <v>39</v>
      </c>
      <c r="N28" s="30">
        <v>51</v>
      </c>
      <c r="P28" s="30">
        <v>13</v>
      </c>
      <c r="R28" s="30">
        <v>20</v>
      </c>
      <c r="T28" s="30">
        <v>12</v>
      </c>
      <c r="V28" s="30">
        <v>26</v>
      </c>
      <c r="X28" s="30">
        <v>6</v>
      </c>
      <c r="AA28" s="30">
        <v>39</v>
      </c>
      <c r="AC28" s="30">
        <v>65</v>
      </c>
      <c r="AE28" s="30">
        <v>26</v>
      </c>
      <c r="AG28" s="30">
        <v>30</v>
      </c>
      <c r="AI28" s="30">
        <v>53</v>
      </c>
      <c r="AK28" s="30">
        <v>66</v>
      </c>
      <c r="AM28" s="30">
        <v>75</v>
      </c>
      <c r="AO28" s="30">
        <v>65</v>
      </c>
      <c r="AQ28" s="495">
        <v>51</v>
      </c>
      <c r="AS28" s="30">
        <v>36</v>
      </c>
      <c r="AU28">
        <v>17</v>
      </c>
      <c r="AW28" s="30">
        <v>32</v>
      </c>
      <c r="AY28" s="30">
        <v>32</v>
      </c>
      <c r="BA28" s="30">
        <v>50</v>
      </c>
      <c r="BC28" s="30">
        <v>19</v>
      </c>
      <c r="BE28" s="30">
        <v>11</v>
      </c>
      <c r="BG28" s="30">
        <v>91</v>
      </c>
      <c r="BI28" s="30">
        <v>37</v>
      </c>
      <c r="BK28" s="30">
        <v>63</v>
      </c>
      <c r="BM28" s="769">
        <v>50</v>
      </c>
      <c r="BO28" s="30">
        <v>87</v>
      </c>
      <c r="BQ28" s="30">
        <v>93</v>
      </c>
      <c r="BS28" s="30">
        <v>17</v>
      </c>
      <c r="BU28" s="30">
        <v>48</v>
      </c>
      <c r="BW28" s="30">
        <v>95</v>
      </c>
      <c r="CC28" s="30">
        <v>84</v>
      </c>
    </row>
    <row r="29" spans="2:81" x14ac:dyDescent="0.2">
      <c r="B29" s="30">
        <v>86</v>
      </c>
      <c r="D29" s="30">
        <v>66</v>
      </c>
      <c r="F29" s="30">
        <v>77</v>
      </c>
      <c r="G29" s="34"/>
      <c r="H29" s="30">
        <v>50</v>
      </c>
      <c r="J29" s="30">
        <v>11</v>
      </c>
      <c r="L29" s="30">
        <v>25</v>
      </c>
      <c r="N29" s="30">
        <v>24</v>
      </c>
      <c r="P29" s="30">
        <v>13</v>
      </c>
      <c r="R29" s="30">
        <v>86</v>
      </c>
      <c r="T29" s="30">
        <v>7</v>
      </c>
      <c r="V29" s="30">
        <v>26</v>
      </c>
      <c r="X29" s="30">
        <v>84</v>
      </c>
      <c r="AA29" s="30">
        <v>6</v>
      </c>
      <c r="AC29" s="30">
        <v>50</v>
      </c>
      <c r="AE29" s="30">
        <v>39</v>
      </c>
      <c r="AG29" s="30">
        <v>39</v>
      </c>
      <c r="AI29" s="30">
        <v>6</v>
      </c>
      <c r="AK29" s="30">
        <v>54</v>
      </c>
      <c r="AM29" s="30">
        <v>60</v>
      </c>
      <c r="AO29" s="30">
        <v>26</v>
      </c>
      <c r="AQ29" s="495">
        <v>82</v>
      </c>
      <c r="AS29" s="30">
        <v>44</v>
      </c>
      <c r="AU29">
        <v>23</v>
      </c>
      <c r="AW29" s="30">
        <v>19</v>
      </c>
      <c r="AY29" s="30">
        <v>19</v>
      </c>
      <c r="BA29" s="30">
        <v>29</v>
      </c>
      <c r="BC29" s="30">
        <v>62</v>
      </c>
      <c r="BE29" s="30">
        <v>26</v>
      </c>
      <c r="BG29" s="30">
        <v>63</v>
      </c>
      <c r="BI29" s="30">
        <v>14</v>
      </c>
      <c r="BK29" s="30">
        <v>19</v>
      </c>
      <c r="BM29" s="769">
        <v>51</v>
      </c>
      <c r="BO29" s="30">
        <v>37</v>
      </c>
      <c r="BQ29" s="30">
        <v>25</v>
      </c>
      <c r="BS29" s="30">
        <v>74</v>
      </c>
      <c r="BU29" s="30">
        <v>25</v>
      </c>
      <c r="BW29" s="30">
        <v>66</v>
      </c>
      <c r="CC29" s="30">
        <v>32</v>
      </c>
    </row>
    <row r="30" spans="2:81" x14ac:dyDescent="0.2">
      <c r="B30" s="30">
        <v>6</v>
      </c>
      <c r="D30" s="30">
        <v>88</v>
      </c>
      <c r="F30" s="30">
        <v>85</v>
      </c>
      <c r="G30" s="34"/>
      <c r="H30" s="30">
        <v>72</v>
      </c>
      <c r="J30" s="30">
        <v>16</v>
      </c>
      <c r="L30" s="30">
        <v>62</v>
      </c>
      <c r="N30" s="30">
        <v>19</v>
      </c>
      <c r="P30" s="30">
        <v>13</v>
      </c>
      <c r="R30" s="30">
        <v>16</v>
      </c>
      <c r="T30" s="30">
        <v>46</v>
      </c>
      <c r="V30" s="30">
        <v>27</v>
      </c>
      <c r="X30" s="30">
        <v>23</v>
      </c>
      <c r="AA30" s="30">
        <v>84</v>
      </c>
      <c r="AC30" s="30">
        <v>8</v>
      </c>
      <c r="AE30" s="30">
        <v>35</v>
      </c>
      <c r="AG30" s="30">
        <v>35</v>
      </c>
      <c r="AI30" s="30">
        <v>16</v>
      </c>
      <c r="AK30" s="30">
        <v>50</v>
      </c>
      <c r="AM30" s="30">
        <v>43</v>
      </c>
      <c r="AO30" s="30">
        <v>19</v>
      </c>
      <c r="AQ30" s="495">
        <v>74</v>
      </c>
      <c r="AS30" s="30">
        <v>52</v>
      </c>
      <c r="AU30">
        <v>11</v>
      </c>
      <c r="AW30" s="30">
        <v>12</v>
      </c>
      <c r="AY30" s="30">
        <v>12</v>
      </c>
      <c r="BA30" s="30">
        <v>2</v>
      </c>
      <c r="BC30" s="30">
        <v>56</v>
      </c>
      <c r="BE30" s="30">
        <v>30</v>
      </c>
      <c r="BG30" s="30">
        <v>15</v>
      </c>
      <c r="BI30" s="30">
        <v>36</v>
      </c>
      <c r="BK30" s="30">
        <v>82</v>
      </c>
      <c r="BM30" s="769">
        <v>87</v>
      </c>
      <c r="BO30" s="30">
        <v>70</v>
      </c>
      <c r="BQ30" s="30">
        <v>41</v>
      </c>
      <c r="BS30" s="30">
        <v>30</v>
      </c>
      <c r="BU30" s="30">
        <v>71</v>
      </c>
      <c r="BW30" s="30">
        <v>94</v>
      </c>
      <c r="CC30" s="30">
        <v>18</v>
      </c>
    </row>
    <row r="31" spans="2:81" x14ac:dyDescent="0.2">
      <c r="B31" s="30">
        <v>64</v>
      </c>
      <c r="D31" s="30">
        <v>16</v>
      </c>
      <c r="F31" s="30">
        <v>21</v>
      </c>
      <c r="G31" s="34"/>
      <c r="H31" s="30">
        <v>85</v>
      </c>
      <c r="J31" s="30">
        <v>99</v>
      </c>
      <c r="L31" s="30">
        <v>31</v>
      </c>
      <c r="N31" s="30">
        <v>68</v>
      </c>
      <c r="P31" s="30">
        <v>13</v>
      </c>
      <c r="R31" s="30">
        <v>4</v>
      </c>
      <c r="T31" s="30">
        <v>30</v>
      </c>
      <c r="V31" s="30">
        <v>36</v>
      </c>
      <c r="X31" s="30">
        <v>22</v>
      </c>
      <c r="AA31" s="30">
        <v>23</v>
      </c>
      <c r="AC31" s="30">
        <v>15</v>
      </c>
      <c r="AE31" s="30">
        <v>68</v>
      </c>
      <c r="AG31" s="30">
        <v>70</v>
      </c>
      <c r="AI31" s="30">
        <v>79</v>
      </c>
      <c r="AK31" s="30">
        <v>3</v>
      </c>
      <c r="AM31" s="30">
        <v>5</v>
      </c>
      <c r="AO31" s="30">
        <v>58</v>
      </c>
      <c r="AQ31" s="495">
        <v>46</v>
      </c>
      <c r="AS31" s="30">
        <v>2</v>
      </c>
      <c r="AU31">
        <v>11</v>
      </c>
      <c r="AW31" s="30">
        <v>34</v>
      </c>
      <c r="AY31" s="30">
        <v>34</v>
      </c>
      <c r="BA31" s="30">
        <v>18</v>
      </c>
      <c r="BC31" s="30">
        <v>29</v>
      </c>
      <c r="BE31" s="30">
        <v>42</v>
      </c>
      <c r="BG31" s="30">
        <v>54</v>
      </c>
      <c r="BI31" s="30">
        <v>29</v>
      </c>
      <c r="BK31" s="30">
        <v>64</v>
      </c>
      <c r="BM31" s="769">
        <v>52</v>
      </c>
      <c r="BO31" s="30">
        <v>17</v>
      </c>
      <c r="BQ31" s="30">
        <v>12</v>
      </c>
      <c r="BS31" s="30">
        <v>47</v>
      </c>
      <c r="BU31" s="30">
        <v>88</v>
      </c>
      <c r="BW31" s="30">
        <v>87</v>
      </c>
      <c r="CC31" s="30">
        <v>40</v>
      </c>
    </row>
    <row r="32" spans="2:81" x14ac:dyDescent="0.2">
      <c r="B32" s="30">
        <v>39</v>
      </c>
      <c r="D32" s="30">
        <v>67</v>
      </c>
      <c r="F32" s="30">
        <v>63</v>
      </c>
      <c r="G32" s="34"/>
      <c r="H32" s="30">
        <v>13</v>
      </c>
      <c r="J32" s="30">
        <v>74</v>
      </c>
      <c r="L32" s="30">
        <v>99</v>
      </c>
      <c r="N32" s="30">
        <v>43</v>
      </c>
      <c r="P32" s="30">
        <v>13</v>
      </c>
      <c r="R32" s="30">
        <v>61</v>
      </c>
      <c r="T32" s="30">
        <v>32</v>
      </c>
      <c r="V32" s="30">
        <v>44</v>
      </c>
      <c r="X32" s="30">
        <v>26</v>
      </c>
      <c r="AA32" s="30">
        <v>22</v>
      </c>
      <c r="AC32" s="30">
        <v>86</v>
      </c>
      <c r="AE32" s="30">
        <v>58</v>
      </c>
      <c r="AG32" s="30">
        <v>49</v>
      </c>
      <c r="AI32" s="30">
        <v>13</v>
      </c>
      <c r="AK32" s="30">
        <v>12</v>
      </c>
      <c r="AM32" s="30">
        <v>35</v>
      </c>
      <c r="AO32" s="30">
        <v>40</v>
      </c>
      <c r="AQ32" s="495">
        <v>6</v>
      </c>
      <c r="AS32" s="30">
        <v>49</v>
      </c>
      <c r="AU32">
        <v>76</v>
      </c>
      <c r="AW32" s="30">
        <v>56</v>
      </c>
      <c r="AY32" s="30">
        <v>56</v>
      </c>
      <c r="BA32" s="30">
        <v>34</v>
      </c>
      <c r="BC32" s="30">
        <v>15</v>
      </c>
      <c r="BE32" s="30">
        <v>41</v>
      </c>
      <c r="BG32" s="30">
        <v>53</v>
      </c>
      <c r="BI32" s="30">
        <v>19</v>
      </c>
      <c r="BK32" s="30">
        <v>35</v>
      </c>
      <c r="BM32" s="769">
        <v>21</v>
      </c>
      <c r="BO32" s="30">
        <v>81</v>
      </c>
      <c r="BQ32" s="30">
        <v>52</v>
      </c>
      <c r="BS32" s="30">
        <v>35</v>
      </c>
      <c r="BU32" s="30">
        <v>39</v>
      </c>
      <c r="BW32" s="30">
        <v>30</v>
      </c>
      <c r="CC32" s="30">
        <v>33</v>
      </c>
    </row>
    <row r="33" spans="2:81" x14ac:dyDescent="0.2">
      <c r="B33" s="30">
        <v>100</v>
      </c>
      <c r="D33" s="30">
        <v>42</v>
      </c>
      <c r="F33" s="30">
        <v>34</v>
      </c>
      <c r="G33" s="34"/>
      <c r="H33" s="30">
        <v>43</v>
      </c>
      <c r="J33" s="30">
        <v>67</v>
      </c>
      <c r="L33" s="30">
        <v>48</v>
      </c>
      <c r="N33" s="30">
        <v>99</v>
      </c>
      <c r="P33" s="30">
        <v>14</v>
      </c>
      <c r="R33" s="30">
        <v>33</v>
      </c>
      <c r="T33" s="30">
        <v>16</v>
      </c>
      <c r="V33" s="30">
        <v>35</v>
      </c>
      <c r="X33" s="30">
        <v>19</v>
      </c>
      <c r="AA33" s="30">
        <v>26</v>
      </c>
      <c r="AC33" s="30">
        <v>8</v>
      </c>
      <c r="AE33" s="30">
        <v>48</v>
      </c>
      <c r="AG33" s="30">
        <v>44</v>
      </c>
      <c r="AI33" s="30">
        <v>23</v>
      </c>
      <c r="AK33" s="30">
        <v>63</v>
      </c>
      <c r="AM33" s="30">
        <v>75</v>
      </c>
      <c r="AO33" s="30">
        <v>7</v>
      </c>
      <c r="AQ33" s="495">
        <v>32</v>
      </c>
      <c r="AS33" s="30">
        <v>5</v>
      </c>
      <c r="AU33">
        <v>7</v>
      </c>
      <c r="AW33" s="30">
        <v>39</v>
      </c>
      <c r="AY33" s="30">
        <v>39</v>
      </c>
      <c r="BA33" s="30">
        <v>91</v>
      </c>
      <c r="BC33" s="30">
        <v>33</v>
      </c>
      <c r="BE33" s="30">
        <v>18</v>
      </c>
      <c r="BG33" s="30">
        <v>36</v>
      </c>
      <c r="BI33" s="30">
        <v>15</v>
      </c>
      <c r="BK33" s="30">
        <v>98</v>
      </c>
      <c r="BM33" s="769">
        <v>15</v>
      </c>
      <c r="BO33" s="30">
        <v>30</v>
      </c>
      <c r="BQ33" s="30">
        <v>75</v>
      </c>
      <c r="BS33" s="30">
        <v>70</v>
      </c>
      <c r="BU33" s="30">
        <v>35</v>
      </c>
      <c r="BW33" s="30">
        <v>59</v>
      </c>
      <c r="CC33" s="30">
        <v>89</v>
      </c>
    </row>
    <row r="34" spans="2:81" x14ac:dyDescent="0.2">
      <c r="B34" s="30">
        <v>60</v>
      </c>
      <c r="D34" s="30">
        <v>50</v>
      </c>
      <c r="F34" s="30">
        <v>95</v>
      </c>
      <c r="G34" s="34"/>
      <c r="H34" s="30">
        <v>24</v>
      </c>
      <c r="J34" s="30">
        <v>83</v>
      </c>
      <c r="L34" s="30">
        <v>20</v>
      </c>
      <c r="N34" s="30">
        <v>24</v>
      </c>
      <c r="P34" s="30">
        <v>15</v>
      </c>
      <c r="R34" s="30">
        <v>19</v>
      </c>
      <c r="T34" s="30">
        <v>64</v>
      </c>
      <c r="V34" s="30">
        <v>14</v>
      </c>
      <c r="X34" s="30">
        <v>72</v>
      </c>
      <c r="AA34" s="30">
        <v>19</v>
      </c>
      <c r="AC34" s="30">
        <v>20</v>
      </c>
      <c r="AE34" s="30">
        <v>7</v>
      </c>
      <c r="AG34" s="30">
        <v>5</v>
      </c>
      <c r="AI34" s="30">
        <v>98</v>
      </c>
      <c r="AK34" s="30">
        <v>8</v>
      </c>
      <c r="AM34" s="30">
        <v>10</v>
      </c>
      <c r="AO34" s="30">
        <v>81</v>
      </c>
      <c r="AQ34" s="495">
        <v>75</v>
      </c>
      <c r="AS34" s="30">
        <v>73</v>
      </c>
      <c r="AU34">
        <v>22</v>
      </c>
      <c r="AW34" s="30">
        <v>17</v>
      </c>
      <c r="AY34" s="30">
        <v>17</v>
      </c>
      <c r="BA34" s="30">
        <v>89</v>
      </c>
      <c r="BC34" s="30">
        <v>46</v>
      </c>
      <c r="BE34" s="30">
        <v>38</v>
      </c>
      <c r="BG34" s="30">
        <v>50</v>
      </c>
      <c r="BI34" s="30">
        <v>60</v>
      </c>
      <c r="BK34" s="30">
        <v>70</v>
      </c>
      <c r="BM34" s="769">
        <v>60</v>
      </c>
      <c r="BO34" s="30">
        <v>13</v>
      </c>
      <c r="BQ34" s="30">
        <v>39</v>
      </c>
      <c r="BS34" s="30">
        <v>92</v>
      </c>
      <c r="BU34" s="30">
        <v>42</v>
      </c>
      <c r="BW34" s="30">
        <v>95</v>
      </c>
      <c r="CC34" s="30">
        <v>29</v>
      </c>
    </row>
    <row r="35" spans="2:81" x14ac:dyDescent="0.2">
      <c r="B35" s="30">
        <v>48</v>
      </c>
      <c r="D35" s="30">
        <v>77</v>
      </c>
      <c r="F35" s="30">
        <v>55</v>
      </c>
      <c r="G35" s="34"/>
      <c r="H35" s="30">
        <v>58</v>
      </c>
      <c r="J35" s="30">
        <v>55</v>
      </c>
      <c r="L35" s="30">
        <v>24</v>
      </c>
      <c r="N35" s="30">
        <v>71</v>
      </c>
      <c r="P35" s="30">
        <v>15</v>
      </c>
      <c r="R35" s="30">
        <v>71</v>
      </c>
      <c r="T35" s="30">
        <v>76</v>
      </c>
      <c r="V35" s="30">
        <v>55</v>
      </c>
      <c r="X35" s="30">
        <v>30</v>
      </c>
      <c r="AA35" s="30">
        <v>72</v>
      </c>
      <c r="AC35" s="30">
        <v>10</v>
      </c>
      <c r="AE35" s="30">
        <v>12</v>
      </c>
      <c r="AG35" s="30">
        <v>12</v>
      </c>
      <c r="AI35" s="30">
        <v>22</v>
      </c>
      <c r="AK35" s="30">
        <v>17</v>
      </c>
      <c r="AM35" s="30">
        <v>18</v>
      </c>
      <c r="AO35" s="30">
        <v>81</v>
      </c>
      <c r="AQ35" s="495">
        <v>19</v>
      </c>
      <c r="AS35" s="30">
        <v>57</v>
      </c>
      <c r="AU35">
        <v>40</v>
      </c>
      <c r="AW35" s="30">
        <v>20</v>
      </c>
      <c r="AY35" s="30">
        <v>20</v>
      </c>
      <c r="BA35" s="30">
        <v>54</v>
      </c>
      <c r="BC35" s="30">
        <v>1</v>
      </c>
      <c r="BE35" s="30">
        <v>67</v>
      </c>
      <c r="BG35" s="30">
        <v>32</v>
      </c>
      <c r="BI35" s="30">
        <v>90</v>
      </c>
      <c r="BK35" s="30">
        <v>11</v>
      </c>
      <c r="BM35" s="769">
        <v>43</v>
      </c>
      <c r="BO35" s="30">
        <v>41</v>
      </c>
      <c r="BQ35" s="30">
        <v>25</v>
      </c>
      <c r="BS35" s="30">
        <v>38</v>
      </c>
      <c r="BU35" s="30">
        <v>60</v>
      </c>
      <c r="BW35" s="30">
        <v>9</v>
      </c>
      <c r="CC35" s="30">
        <v>28</v>
      </c>
    </row>
    <row r="36" spans="2:81" x14ac:dyDescent="0.2">
      <c r="B36" s="30">
        <v>20</v>
      </c>
      <c r="D36" s="30">
        <v>30</v>
      </c>
      <c r="F36" s="30">
        <v>67</v>
      </c>
      <c r="G36" s="34"/>
      <c r="H36" s="30">
        <v>12</v>
      </c>
      <c r="J36" s="30">
        <v>98</v>
      </c>
      <c r="L36" s="30">
        <v>67</v>
      </c>
      <c r="N36" s="30">
        <v>26</v>
      </c>
      <c r="P36" s="30">
        <v>15</v>
      </c>
      <c r="R36" s="30">
        <v>91</v>
      </c>
      <c r="T36" s="30">
        <v>0</v>
      </c>
      <c r="V36" s="30">
        <v>11</v>
      </c>
      <c r="X36" s="30">
        <v>41</v>
      </c>
      <c r="AA36" s="30">
        <v>30</v>
      </c>
      <c r="AC36" s="30">
        <v>8</v>
      </c>
      <c r="AE36" s="30">
        <v>66</v>
      </c>
      <c r="AG36" s="30">
        <v>66</v>
      </c>
      <c r="AI36" s="30">
        <v>20</v>
      </c>
      <c r="AK36" s="30">
        <v>84</v>
      </c>
      <c r="AM36" s="30">
        <v>90</v>
      </c>
      <c r="AO36" s="30">
        <v>70</v>
      </c>
      <c r="AQ36" s="495">
        <v>21</v>
      </c>
      <c r="AS36" s="30">
        <v>17</v>
      </c>
      <c r="AU36">
        <v>83</v>
      </c>
      <c r="AW36" s="30">
        <v>5</v>
      </c>
      <c r="AY36" s="30">
        <v>5</v>
      </c>
      <c r="BA36" s="30">
        <v>51</v>
      </c>
      <c r="BC36" s="30">
        <v>51</v>
      </c>
      <c r="BE36" s="30">
        <v>5</v>
      </c>
      <c r="BG36" s="30">
        <v>36</v>
      </c>
      <c r="BI36" s="30">
        <v>65</v>
      </c>
      <c r="BK36" s="30">
        <v>9</v>
      </c>
      <c r="BM36" s="769">
        <v>15</v>
      </c>
      <c r="BO36" s="30">
        <v>11</v>
      </c>
      <c r="BQ36" s="30">
        <v>4</v>
      </c>
      <c r="BS36" s="30">
        <v>67</v>
      </c>
      <c r="BU36" s="30">
        <v>66</v>
      </c>
      <c r="BW36" s="30">
        <v>46</v>
      </c>
      <c r="CC36" s="30">
        <v>39</v>
      </c>
    </row>
    <row r="37" spans="2:81" x14ac:dyDescent="0.2">
      <c r="B37" s="30">
        <v>73</v>
      </c>
      <c r="D37" s="30">
        <v>68</v>
      </c>
      <c r="F37" s="30">
        <v>35</v>
      </c>
      <c r="G37" s="34"/>
      <c r="H37" s="30">
        <v>73</v>
      </c>
      <c r="J37" s="30">
        <v>46</v>
      </c>
      <c r="L37" s="30">
        <v>70</v>
      </c>
      <c r="N37" s="30">
        <v>94</v>
      </c>
      <c r="P37" s="30">
        <v>15</v>
      </c>
      <c r="R37" s="30">
        <v>60</v>
      </c>
      <c r="T37" s="30">
        <v>36</v>
      </c>
      <c r="V37" s="30">
        <v>65</v>
      </c>
      <c r="X37" s="30">
        <v>26</v>
      </c>
      <c r="AA37" s="30">
        <v>41</v>
      </c>
      <c r="AC37" s="30">
        <v>80</v>
      </c>
      <c r="AE37" s="30">
        <v>17</v>
      </c>
      <c r="AG37" s="30">
        <v>11</v>
      </c>
      <c r="AI37" s="30">
        <v>27</v>
      </c>
      <c r="AK37" s="30">
        <v>3</v>
      </c>
      <c r="AM37" s="30">
        <v>16</v>
      </c>
      <c r="AO37" s="30">
        <v>66</v>
      </c>
      <c r="AQ37" s="495">
        <v>85</v>
      </c>
      <c r="AS37" s="30">
        <v>10</v>
      </c>
      <c r="AU37">
        <v>46</v>
      </c>
      <c r="AW37" s="30">
        <v>6</v>
      </c>
      <c r="AY37" s="30">
        <v>6</v>
      </c>
      <c r="BA37" s="30">
        <v>29</v>
      </c>
      <c r="BC37" s="30">
        <v>45</v>
      </c>
      <c r="BE37" s="30">
        <v>37</v>
      </c>
      <c r="BG37" s="30">
        <v>11</v>
      </c>
      <c r="BI37" s="30">
        <v>6</v>
      </c>
      <c r="BK37" s="30">
        <v>16</v>
      </c>
      <c r="BM37" s="769">
        <v>65</v>
      </c>
      <c r="BO37" s="30">
        <v>57</v>
      </c>
      <c r="BQ37" s="30">
        <v>84</v>
      </c>
      <c r="BS37" s="30">
        <v>96</v>
      </c>
      <c r="BU37" s="30">
        <v>12</v>
      </c>
      <c r="BW37" s="30">
        <v>99</v>
      </c>
      <c r="CC37" s="30">
        <v>97</v>
      </c>
    </row>
    <row r="38" spans="2:81" x14ac:dyDescent="0.2">
      <c r="B38" s="30">
        <v>91</v>
      </c>
      <c r="D38" s="30">
        <v>67</v>
      </c>
      <c r="F38" s="30">
        <v>20</v>
      </c>
      <c r="G38" s="34"/>
      <c r="H38" s="30">
        <v>61</v>
      </c>
      <c r="J38" s="30">
        <v>86</v>
      </c>
      <c r="L38" s="30">
        <v>41</v>
      </c>
      <c r="N38" s="30">
        <v>39</v>
      </c>
      <c r="P38" s="30">
        <v>15</v>
      </c>
      <c r="R38" s="30">
        <v>46</v>
      </c>
      <c r="T38" s="30">
        <v>70</v>
      </c>
      <c r="V38" s="30">
        <v>13</v>
      </c>
      <c r="X38" s="30">
        <v>11</v>
      </c>
      <c r="AA38" s="30">
        <v>26</v>
      </c>
      <c r="AC38" s="30">
        <v>42</v>
      </c>
      <c r="AE38" s="30">
        <v>14</v>
      </c>
      <c r="AG38" s="30">
        <v>19</v>
      </c>
      <c r="AI38" s="30">
        <v>48</v>
      </c>
      <c r="AK38" s="30">
        <v>14</v>
      </c>
      <c r="AM38" s="30">
        <v>12</v>
      </c>
      <c r="AO38" s="30">
        <v>61</v>
      </c>
      <c r="AQ38" s="495">
        <v>63</v>
      </c>
      <c r="AS38" s="30">
        <v>93</v>
      </c>
      <c r="AU38">
        <v>29</v>
      </c>
      <c r="AW38" s="30">
        <v>2</v>
      </c>
      <c r="AY38" s="30">
        <v>2</v>
      </c>
      <c r="BA38" s="30">
        <v>33</v>
      </c>
      <c r="BC38" s="30">
        <v>55</v>
      </c>
      <c r="BE38" s="30">
        <v>60</v>
      </c>
      <c r="BG38" s="30">
        <v>79</v>
      </c>
      <c r="BI38" s="30">
        <v>43</v>
      </c>
      <c r="BK38" s="30">
        <v>30</v>
      </c>
      <c r="BM38" s="769">
        <v>29</v>
      </c>
      <c r="BO38" s="30">
        <v>20</v>
      </c>
      <c r="BQ38" s="30">
        <v>23</v>
      </c>
      <c r="BS38" s="30">
        <v>70</v>
      </c>
      <c r="BU38" s="30">
        <v>38</v>
      </c>
      <c r="BW38" s="30">
        <v>75</v>
      </c>
      <c r="CC38" s="30">
        <v>0</v>
      </c>
    </row>
    <row r="39" spans="2:81" x14ac:dyDescent="0.2">
      <c r="B39" s="30">
        <v>76</v>
      </c>
      <c r="D39" s="30">
        <v>73</v>
      </c>
      <c r="F39" s="30">
        <v>65</v>
      </c>
      <c r="G39" s="34"/>
      <c r="H39" s="30">
        <v>68</v>
      </c>
      <c r="J39" s="30">
        <v>40</v>
      </c>
      <c r="L39" s="30">
        <v>24</v>
      </c>
      <c r="N39" s="30">
        <v>14</v>
      </c>
      <c r="P39" s="30">
        <v>16</v>
      </c>
      <c r="R39" s="30">
        <v>77</v>
      </c>
      <c r="T39" s="30">
        <v>48</v>
      </c>
      <c r="V39" s="30">
        <v>5</v>
      </c>
      <c r="X39" s="30">
        <v>48</v>
      </c>
      <c r="AA39" s="30">
        <v>11</v>
      </c>
      <c r="AC39" s="30">
        <v>89</v>
      </c>
      <c r="AE39" s="30">
        <v>78</v>
      </c>
      <c r="AG39" s="30">
        <v>79</v>
      </c>
      <c r="AI39" s="30">
        <v>90</v>
      </c>
      <c r="AK39" s="30">
        <v>11</v>
      </c>
      <c r="AM39" s="30">
        <v>5</v>
      </c>
      <c r="AO39" s="30">
        <v>32</v>
      </c>
      <c r="AQ39" s="495">
        <v>16</v>
      </c>
      <c r="AS39" s="30">
        <v>31</v>
      </c>
      <c r="AU39">
        <v>3</v>
      </c>
      <c r="AW39" s="30">
        <v>6</v>
      </c>
      <c r="AY39" s="30">
        <v>6</v>
      </c>
      <c r="BA39" s="30">
        <v>41</v>
      </c>
      <c r="BC39" s="30">
        <v>43</v>
      </c>
      <c r="BE39" s="30">
        <v>56</v>
      </c>
      <c r="BG39" s="30">
        <v>31</v>
      </c>
      <c r="BI39" s="30">
        <v>18</v>
      </c>
      <c r="BK39" s="30">
        <v>78</v>
      </c>
      <c r="BM39" s="769">
        <v>56</v>
      </c>
      <c r="BO39" s="30">
        <v>37</v>
      </c>
      <c r="BQ39" s="30">
        <v>35</v>
      </c>
      <c r="BS39" s="30">
        <v>79</v>
      </c>
      <c r="BU39" s="30">
        <v>63</v>
      </c>
      <c r="BW39" s="30">
        <v>80</v>
      </c>
      <c r="CC39" s="30">
        <v>90</v>
      </c>
    </row>
    <row r="40" spans="2:81" x14ac:dyDescent="0.2">
      <c r="B40" s="30">
        <v>100</v>
      </c>
      <c r="D40" s="30">
        <v>87</v>
      </c>
      <c r="F40" s="30">
        <v>67</v>
      </c>
      <c r="G40" s="34"/>
      <c r="H40" s="30">
        <v>69</v>
      </c>
      <c r="J40" s="30">
        <v>32</v>
      </c>
      <c r="L40" s="30">
        <v>84</v>
      </c>
      <c r="N40" s="30">
        <v>18</v>
      </c>
      <c r="P40" s="30">
        <v>16</v>
      </c>
      <c r="R40" s="30">
        <v>30</v>
      </c>
      <c r="T40" s="30">
        <v>27</v>
      </c>
      <c r="V40" s="30">
        <v>42</v>
      </c>
      <c r="X40" s="30">
        <v>10</v>
      </c>
      <c r="AA40" s="30">
        <v>48</v>
      </c>
      <c r="AC40" s="30">
        <v>37</v>
      </c>
      <c r="AE40" s="30">
        <v>16</v>
      </c>
      <c r="AG40" s="30">
        <v>18</v>
      </c>
      <c r="AI40" s="30">
        <v>39</v>
      </c>
      <c r="AK40" s="30">
        <v>40</v>
      </c>
      <c r="AM40" s="30">
        <v>21</v>
      </c>
      <c r="AO40" s="30">
        <v>91</v>
      </c>
      <c r="AQ40" s="495">
        <v>25</v>
      </c>
      <c r="AS40" s="30">
        <v>89</v>
      </c>
      <c r="AU40">
        <v>77</v>
      </c>
      <c r="AW40" s="30">
        <v>13</v>
      </c>
      <c r="AY40" s="30">
        <v>13</v>
      </c>
      <c r="BA40" s="30">
        <v>7</v>
      </c>
      <c r="BC40" s="30">
        <v>28</v>
      </c>
      <c r="BE40" s="30">
        <v>11</v>
      </c>
      <c r="BG40" s="30">
        <v>17</v>
      </c>
      <c r="BI40" s="30">
        <v>30</v>
      </c>
      <c r="BK40" s="30">
        <v>51</v>
      </c>
      <c r="BM40" s="769">
        <v>33</v>
      </c>
      <c r="BO40" s="30">
        <v>58</v>
      </c>
      <c r="BQ40" s="30">
        <v>18</v>
      </c>
      <c r="BS40" s="30">
        <v>15</v>
      </c>
      <c r="BU40" s="30">
        <v>32</v>
      </c>
      <c r="BW40" s="30">
        <v>48</v>
      </c>
      <c r="CC40" s="30">
        <v>41</v>
      </c>
    </row>
    <row r="41" spans="2:81" x14ac:dyDescent="0.2">
      <c r="B41" s="30">
        <v>46</v>
      </c>
      <c r="D41" s="30">
        <v>90</v>
      </c>
      <c r="F41" s="30">
        <v>77</v>
      </c>
      <c r="G41" s="34"/>
      <c r="H41" s="30">
        <v>90</v>
      </c>
      <c r="J41" s="30">
        <v>47</v>
      </c>
      <c r="L41" s="30">
        <v>30</v>
      </c>
      <c r="N41" s="30">
        <v>57</v>
      </c>
      <c r="P41" s="30">
        <v>16</v>
      </c>
      <c r="R41" s="30">
        <v>85</v>
      </c>
      <c r="T41" s="30">
        <v>81</v>
      </c>
      <c r="V41" s="30">
        <v>62</v>
      </c>
      <c r="X41" s="30">
        <v>20</v>
      </c>
      <c r="AA41" s="30">
        <v>10</v>
      </c>
      <c r="AC41" s="30">
        <v>35</v>
      </c>
      <c r="AE41" s="30">
        <v>20</v>
      </c>
      <c r="AG41" s="30">
        <v>16</v>
      </c>
      <c r="AI41" s="30">
        <v>71</v>
      </c>
      <c r="AK41" s="30">
        <v>86</v>
      </c>
      <c r="AM41" s="30">
        <v>76</v>
      </c>
      <c r="AO41" s="30">
        <v>79</v>
      </c>
      <c r="AQ41" s="495">
        <v>65</v>
      </c>
      <c r="AS41" s="30">
        <v>47</v>
      </c>
      <c r="AU41">
        <v>87</v>
      </c>
      <c r="AW41" s="30">
        <v>16</v>
      </c>
      <c r="AY41" s="30">
        <v>16</v>
      </c>
      <c r="BA41" s="30">
        <v>1</v>
      </c>
      <c r="BC41" s="30">
        <v>39</v>
      </c>
      <c r="BE41" s="30">
        <v>28</v>
      </c>
      <c r="BG41" s="30">
        <v>84</v>
      </c>
      <c r="BI41" s="30">
        <v>25</v>
      </c>
      <c r="BK41" s="30">
        <v>4</v>
      </c>
      <c r="BM41" s="769">
        <v>45</v>
      </c>
      <c r="BO41" s="30">
        <v>59</v>
      </c>
      <c r="BQ41" s="30">
        <v>36</v>
      </c>
      <c r="BS41" s="30">
        <v>13</v>
      </c>
      <c r="BU41" s="30">
        <v>70</v>
      </c>
      <c r="BW41" s="30">
        <v>56</v>
      </c>
      <c r="CC41" s="30">
        <v>58</v>
      </c>
    </row>
    <row r="42" spans="2:81" x14ac:dyDescent="0.2">
      <c r="B42" s="30">
        <v>84</v>
      </c>
      <c r="D42" s="30">
        <v>39</v>
      </c>
      <c r="F42" s="30">
        <v>76</v>
      </c>
      <c r="G42" s="34"/>
      <c r="H42" s="30">
        <v>35</v>
      </c>
      <c r="J42" s="30">
        <v>70</v>
      </c>
      <c r="L42" s="30">
        <v>68</v>
      </c>
      <c r="N42" s="30">
        <v>72</v>
      </c>
      <c r="P42" s="30">
        <v>16</v>
      </c>
      <c r="R42" s="30">
        <v>37</v>
      </c>
      <c r="T42" s="30">
        <v>33</v>
      </c>
      <c r="V42" s="30">
        <v>33</v>
      </c>
      <c r="X42" s="30">
        <v>15</v>
      </c>
      <c r="AA42" s="30">
        <v>20</v>
      </c>
      <c r="AC42" s="30">
        <v>11</v>
      </c>
      <c r="AE42" s="30">
        <v>5</v>
      </c>
      <c r="AG42" s="30">
        <v>22</v>
      </c>
      <c r="AI42" s="30">
        <v>88</v>
      </c>
      <c r="AK42" s="30">
        <v>40</v>
      </c>
      <c r="AM42" s="30">
        <v>42</v>
      </c>
      <c r="AO42" s="30">
        <v>57</v>
      </c>
      <c r="AQ42" s="495">
        <v>68</v>
      </c>
      <c r="AS42" s="30">
        <v>81</v>
      </c>
      <c r="AU42">
        <v>12</v>
      </c>
      <c r="AW42" s="30">
        <v>22</v>
      </c>
      <c r="AY42" s="30">
        <v>22</v>
      </c>
      <c r="BA42" s="30">
        <v>22</v>
      </c>
      <c r="BC42" s="30">
        <v>18</v>
      </c>
      <c r="BE42" s="30">
        <v>62</v>
      </c>
      <c r="BG42" s="30">
        <v>65</v>
      </c>
      <c r="BI42" s="30">
        <v>12</v>
      </c>
      <c r="BK42" s="30">
        <v>54</v>
      </c>
      <c r="BM42" s="769">
        <v>55</v>
      </c>
      <c r="BO42" s="30">
        <v>51</v>
      </c>
      <c r="BQ42" s="30">
        <v>49</v>
      </c>
      <c r="BS42" s="30">
        <v>35</v>
      </c>
      <c r="BU42" s="30">
        <v>14</v>
      </c>
      <c r="BW42" s="30">
        <v>41</v>
      </c>
      <c r="CC42" s="30">
        <v>9</v>
      </c>
    </row>
    <row r="43" spans="2:81" x14ac:dyDescent="0.2">
      <c r="B43" s="30">
        <v>35</v>
      </c>
      <c r="D43" s="30">
        <v>65</v>
      </c>
      <c r="F43" s="30">
        <v>84</v>
      </c>
      <c r="G43" s="34"/>
      <c r="H43" s="30">
        <v>74</v>
      </c>
      <c r="J43" s="30">
        <v>19</v>
      </c>
      <c r="L43" s="30">
        <v>18</v>
      </c>
      <c r="N43" s="30">
        <v>44</v>
      </c>
      <c r="P43" s="30">
        <v>16</v>
      </c>
      <c r="R43" s="30">
        <v>36</v>
      </c>
      <c r="T43" s="30">
        <v>31</v>
      </c>
      <c r="V43" s="30">
        <v>24</v>
      </c>
      <c r="X43" s="30">
        <v>3</v>
      </c>
      <c r="AA43" s="30">
        <v>15</v>
      </c>
      <c r="AC43" s="30">
        <v>60</v>
      </c>
      <c r="AE43" s="30">
        <v>22</v>
      </c>
      <c r="AG43" s="30">
        <v>13</v>
      </c>
      <c r="AI43" s="30">
        <v>68</v>
      </c>
      <c r="AK43" s="30">
        <v>62</v>
      </c>
      <c r="AM43" s="30">
        <v>66</v>
      </c>
      <c r="AO43" s="30">
        <v>35</v>
      </c>
      <c r="AQ43" s="495">
        <v>52</v>
      </c>
      <c r="AS43" s="30">
        <v>15</v>
      </c>
      <c r="AU43">
        <v>34</v>
      </c>
      <c r="AW43" s="30">
        <v>17</v>
      </c>
      <c r="AY43" s="30">
        <v>17</v>
      </c>
      <c r="BA43" s="30">
        <v>6</v>
      </c>
      <c r="BC43" s="30">
        <v>40</v>
      </c>
      <c r="BE43" s="30">
        <v>34</v>
      </c>
      <c r="BG43" s="30">
        <v>20</v>
      </c>
      <c r="BI43" s="30">
        <v>52</v>
      </c>
      <c r="BK43" s="30">
        <v>31</v>
      </c>
      <c r="BM43" s="769">
        <v>44</v>
      </c>
      <c r="BO43" s="30">
        <v>13</v>
      </c>
      <c r="BQ43" s="30">
        <v>9</v>
      </c>
      <c r="BS43" s="30">
        <v>84</v>
      </c>
      <c r="BU43" s="30">
        <v>34</v>
      </c>
      <c r="BW43" s="30">
        <v>16</v>
      </c>
      <c r="CC43" s="30">
        <v>50</v>
      </c>
    </row>
    <row r="44" spans="2:81" x14ac:dyDescent="0.2">
      <c r="B44" s="30">
        <v>78</v>
      </c>
      <c r="D44" s="30">
        <v>23</v>
      </c>
      <c r="F44" s="30">
        <v>39</v>
      </c>
      <c r="G44" s="34"/>
      <c r="H44" s="30">
        <v>30</v>
      </c>
      <c r="J44" s="30">
        <v>43</v>
      </c>
      <c r="L44" s="30">
        <v>46</v>
      </c>
      <c r="N44" s="30">
        <v>23</v>
      </c>
      <c r="P44" s="30">
        <v>17</v>
      </c>
      <c r="R44" s="30">
        <v>17</v>
      </c>
      <c r="T44" s="30">
        <v>17</v>
      </c>
      <c r="V44" s="30">
        <v>20</v>
      </c>
      <c r="X44" s="30">
        <v>80</v>
      </c>
      <c r="AA44" s="30">
        <v>3</v>
      </c>
      <c r="AC44" s="30">
        <v>9</v>
      </c>
      <c r="AE44" s="30">
        <v>68</v>
      </c>
      <c r="AG44" s="30">
        <v>73</v>
      </c>
      <c r="AI44" s="30">
        <v>73</v>
      </c>
      <c r="AK44" s="30">
        <v>84</v>
      </c>
      <c r="AM44" s="30">
        <v>86</v>
      </c>
      <c r="AO44" s="30">
        <v>30</v>
      </c>
      <c r="AQ44" s="495">
        <v>63</v>
      </c>
      <c r="AS44" s="30">
        <v>56</v>
      </c>
      <c r="AU44">
        <v>32</v>
      </c>
      <c r="AW44" s="30">
        <v>12</v>
      </c>
      <c r="AY44" s="30">
        <v>12</v>
      </c>
      <c r="BA44" s="30">
        <v>7</v>
      </c>
      <c r="BC44" s="30">
        <v>7</v>
      </c>
      <c r="BE44" s="30">
        <v>7</v>
      </c>
      <c r="BG44" s="30">
        <v>42</v>
      </c>
      <c r="BI44" s="30">
        <v>49</v>
      </c>
      <c r="BK44" s="30">
        <v>23</v>
      </c>
      <c r="BM44" s="769">
        <v>67</v>
      </c>
      <c r="BO44" s="30">
        <v>31</v>
      </c>
      <c r="BQ44" s="30">
        <v>64</v>
      </c>
      <c r="BS44" s="30">
        <v>94</v>
      </c>
      <c r="BU44" s="30">
        <v>39</v>
      </c>
      <c r="BW44" s="30">
        <v>16</v>
      </c>
      <c r="CC44" s="30">
        <v>49</v>
      </c>
    </row>
    <row r="45" spans="2:81" x14ac:dyDescent="0.2">
      <c r="B45" s="30">
        <v>60</v>
      </c>
      <c r="D45" s="30">
        <v>60</v>
      </c>
      <c r="F45" s="30">
        <v>36</v>
      </c>
      <c r="G45" s="34"/>
      <c r="H45" s="30">
        <v>84</v>
      </c>
      <c r="J45" s="30">
        <v>67</v>
      </c>
      <c r="L45" s="30">
        <v>31</v>
      </c>
      <c r="N45" s="30">
        <v>50</v>
      </c>
      <c r="P45" s="30">
        <v>17</v>
      </c>
      <c r="R45" s="30">
        <v>30</v>
      </c>
      <c r="T45" s="30">
        <v>26</v>
      </c>
      <c r="V45" s="30">
        <v>65</v>
      </c>
      <c r="X45" s="30">
        <v>41</v>
      </c>
      <c r="AA45" s="30">
        <v>80</v>
      </c>
      <c r="AC45" s="30">
        <v>15</v>
      </c>
      <c r="AE45" s="30">
        <v>67</v>
      </c>
      <c r="AG45" s="30">
        <v>34</v>
      </c>
      <c r="AI45" s="30">
        <v>67</v>
      </c>
      <c r="AK45" s="30">
        <v>26</v>
      </c>
      <c r="AM45" s="30">
        <v>36</v>
      </c>
      <c r="AO45" s="30">
        <v>66</v>
      </c>
      <c r="AQ45" s="495">
        <v>96</v>
      </c>
      <c r="AS45" s="30">
        <v>65</v>
      </c>
      <c r="AU45">
        <v>32</v>
      </c>
      <c r="AW45" s="30">
        <v>15</v>
      </c>
      <c r="AY45" s="30">
        <v>15</v>
      </c>
      <c r="BA45" s="30">
        <v>6</v>
      </c>
      <c r="BC45" s="30">
        <v>20</v>
      </c>
      <c r="BE45" s="30">
        <v>0</v>
      </c>
      <c r="BG45" s="30">
        <v>49</v>
      </c>
      <c r="BI45" s="30">
        <v>28</v>
      </c>
      <c r="BK45" s="30">
        <v>8</v>
      </c>
      <c r="BM45" s="769">
        <v>42</v>
      </c>
      <c r="BO45" s="30">
        <v>87</v>
      </c>
      <c r="BQ45" s="30">
        <v>8</v>
      </c>
      <c r="BS45" s="30">
        <v>100</v>
      </c>
      <c r="BU45" s="30">
        <v>9</v>
      </c>
      <c r="BW45" s="30">
        <v>10</v>
      </c>
      <c r="CC45" s="30">
        <v>62</v>
      </c>
    </row>
    <row r="46" spans="2:81" x14ac:dyDescent="0.2">
      <c r="B46" s="30">
        <v>82</v>
      </c>
      <c r="D46" s="30">
        <v>57</v>
      </c>
      <c r="F46" s="30">
        <v>65</v>
      </c>
      <c r="G46" s="34"/>
      <c r="H46" s="30">
        <v>33</v>
      </c>
      <c r="J46" s="30">
        <v>32</v>
      </c>
      <c r="L46" s="30">
        <v>31</v>
      </c>
      <c r="N46" s="30">
        <v>54</v>
      </c>
      <c r="P46" s="30">
        <v>17</v>
      </c>
      <c r="R46" s="30">
        <v>29</v>
      </c>
      <c r="T46" s="30">
        <v>31</v>
      </c>
      <c r="V46" s="30">
        <v>74</v>
      </c>
      <c r="X46" s="30">
        <v>28</v>
      </c>
      <c r="AA46" s="30">
        <v>41</v>
      </c>
      <c r="AC46" s="30">
        <v>4</v>
      </c>
      <c r="AE46" s="30">
        <v>59</v>
      </c>
      <c r="AG46" s="30">
        <v>58</v>
      </c>
      <c r="AI46" s="30">
        <v>63</v>
      </c>
      <c r="AK46" s="30">
        <v>52</v>
      </c>
      <c r="AM46" s="30">
        <v>71</v>
      </c>
      <c r="AO46" s="30">
        <v>73</v>
      </c>
      <c r="AQ46" s="495">
        <v>55</v>
      </c>
      <c r="AS46" s="30">
        <v>72</v>
      </c>
      <c r="AU46">
        <v>68</v>
      </c>
      <c r="AW46" s="30">
        <v>36</v>
      </c>
      <c r="AY46" s="30">
        <v>36</v>
      </c>
      <c r="BA46" s="30">
        <v>22</v>
      </c>
      <c r="BC46" s="30">
        <v>13</v>
      </c>
      <c r="BE46" s="30">
        <v>0</v>
      </c>
      <c r="BG46" s="30">
        <v>32</v>
      </c>
      <c r="BI46" s="30">
        <v>34</v>
      </c>
      <c r="BK46" s="30">
        <v>73</v>
      </c>
      <c r="BM46" s="769">
        <v>41</v>
      </c>
      <c r="BO46" s="30">
        <v>86</v>
      </c>
      <c r="BQ46" s="30">
        <v>74</v>
      </c>
      <c r="BS46" s="30">
        <v>44</v>
      </c>
      <c r="BU46" s="30">
        <v>13</v>
      </c>
      <c r="BW46" s="30">
        <v>54</v>
      </c>
      <c r="CC46" s="30">
        <v>33</v>
      </c>
    </row>
    <row r="47" spans="2:81" x14ac:dyDescent="0.2">
      <c r="B47" s="30">
        <v>68</v>
      </c>
      <c r="D47" s="30">
        <v>69</v>
      </c>
      <c r="F47" s="30">
        <v>41</v>
      </c>
      <c r="G47" s="34"/>
      <c r="H47" s="30">
        <v>25</v>
      </c>
      <c r="J47" s="30">
        <v>75</v>
      </c>
      <c r="L47" s="30">
        <v>26</v>
      </c>
      <c r="N47" s="30">
        <v>30</v>
      </c>
      <c r="P47" s="30">
        <v>18</v>
      </c>
      <c r="R47" s="30">
        <v>73</v>
      </c>
      <c r="T47" s="30">
        <v>59</v>
      </c>
      <c r="V47" s="30">
        <v>49</v>
      </c>
      <c r="X47" s="30">
        <v>52</v>
      </c>
      <c r="AA47" s="30">
        <v>28</v>
      </c>
      <c r="AC47" s="30">
        <v>23</v>
      </c>
      <c r="AE47" s="30">
        <v>36</v>
      </c>
      <c r="AG47" s="30">
        <v>92</v>
      </c>
      <c r="AI47" s="30">
        <v>28</v>
      </c>
      <c r="AK47" s="30">
        <v>49</v>
      </c>
      <c r="AM47" s="30">
        <v>83</v>
      </c>
      <c r="AO47" s="30">
        <v>84</v>
      </c>
      <c r="AQ47" s="495">
        <v>81</v>
      </c>
      <c r="AS47" s="30">
        <v>16</v>
      </c>
      <c r="AU47">
        <v>46</v>
      </c>
      <c r="AW47" s="30">
        <v>1</v>
      </c>
      <c r="AY47" s="30">
        <v>1</v>
      </c>
      <c r="BA47" s="30">
        <v>87</v>
      </c>
      <c r="BC47" s="30">
        <v>14</v>
      </c>
      <c r="BE47" s="30">
        <v>60</v>
      </c>
      <c r="BG47" s="30">
        <v>47</v>
      </c>
      <c r="BI47" s="30">
        <v>85</v>
      </c>
      <c r="BK47" s="30">
        <v>42</v>
      </c>
      <c r="BM47" s="769">
        <v>62</v>
      </c>
      <c r="BO47" s="30">
        <v>5</v>
      </c>
      <c r="BQ47" s="30">
        <v>68</v>
      </c>
      <c r="BS47" s="30">
        <v>94</v>
      </c>
      <c r="BU47" s="30">
        <v>13</v>
      </c>
      <c r="BW47" s="30">
        <v>47</v>
      </c>
      <c r="CC47" s="30">
        <v>77</v>
      </c>
    </row>
    <row r="48" spans="2:81" x14ac:dyDescent="0.2">
      <c r="B48" s="30">
        <v>58</v>
      </c>
      <c r="D48" s="30">
        <v>61</v>
      </c>
      <c r="F48" s="30">
        <v>25</v>
      </c>
      <c r="G48" s="34"/>
      <c r="H48" s="30">
        <v>45</v>
      </c>
      <c r="J48" s="30">
        <v>91</v>
      </c>
      <c r="L48" s="30">
        <v>26</v>
      </c>
      <c r="N48" s="30">
        <v>46</v>
      </c>
      <c r="P48" s="30">
        <v>18</v>
      </c>
      <c r="R48" s="30">
        <v>65</v>
      </c>
      <c r="T48" s="30">
        <v>69</v>
      </c>
      <c r="V48" s="30">
        <v>51</v>
      </c>
      <c r="X48" s="30">
        <v>30</v>
      </c>
      <c r="AA48" s="30">
        <v>52</v>
      </c>
      <c r="AC48" s="30">
        <v>43</v>
      </c>
      <c r="AE48" s="30">
        <v>28</v>
      </c>
      <c r="AG48" s="30">
        <v>42</v>
      </c>
      <c r="AI48" s="30">
        <v>16</v>
      </c>
      <c r="AK48" s="30">
        <v>24</v>
      </c>
      <c r="AM48" s="30">
        <v>59</v>
      </c>
      <c r="AO48" s="30">
        <v>9</v>
      </c>
      <c r="AQ48" s="495">
        <v>79</v>
      </c>
      <c r="AS48" s="30">
        <v>33</v>
      </c>
      <c r="AU48">
        <v>60</v>
      </c>
      <c r="AW48" s="30">
        <v>8</v>
      </c>
      <c r="AY48" s="30">
        <v>8</v>
      </c>
      <c r="BA48" s="30">
        <v>39</v>
      </c>
      <c r="BC48" s="30">
        <v>53</v>
      </c>
      <c r="BE48" s="30">
        <v>9</v>
      </c>
      <c r="BG48" s="30">
        <v>44</v>
      </c>
      <c r="BI48" s="30">
        <v>67</v>
      </c>
      <c r="BK48" s="30">
        <v>6</v>
      </c>
      <c r="BM48" s="769">
        <v>51</v>
      </c>
      <c r="BO48" s="30">
        <v>16</v>
      </c>
      <c r="BQ48" s="30">
        <v>45</v>
      </c>
      <c r="BS48" s="30">
        <v>40</v>
      </c>
      <c r="BU48" s="30">
        <v>73</v>
      </c>
      <c r="BW48" s="30">
        <v>62</v>
      </c>
      <c r="CC48" s="30">
        <v>77</v>
      </c>
    </row>
    <row r="49" spans="2:81" x14ac:dyDescent="0.2">
      <c r="B49" s="30">
        <v>47</v>
      </c>
      <c r="D49" s="30">
        <v>57</v>
      </c>
      <c r="F49" s="30">
        <v>56</v>
      </c>
      <c r="G49" s="34"/>
      <c r="H49" s="30">
        <v>56</v>
      </c>
      <c r="J49" s="30">
        <v>26</v>
      </c>
      <c r="L49" s="30">
        <v>52</v>
      </c>
      <c r="N49" s="30">
        <v>20</v>
      </c>
      <c r="P49" s="30">
        <v>18</v>
      </c>
      <c r="R49" s="30">
        <v>30</v>
      </c>
      <c r="T49" s="30">
        <v>23</v>
      </c>
      <c r="V49" s="30">
        <v>84</v>
      </c>
      <c r="X49" s="30">
        <v>24</v>
      </c>
      <c r="AA49" s="30">
        <v>30</v>
      </c>
      <c r="AC49" s="30">
        <v>47</v>
      </c>
      <c r="AE49" s="30">
        <v>34</v>
      </c>
      <c r="AG49" s="30">
        <v>31</v>
      </c>
      <c r="AI49" s="30">
        <v>56</v>
      </c>
      <c r="AK49" s="30">
        <v>32</v>
      </c>
      <c r="AM49" s="30">
        <v>73</v>
      </c>
      <c r="AO49" s="30">
        <v>67</v>
      </c>
      <c r="AQ49" s="495">
        <v>47</v>
      </c>
      <c r="AS49" s="30">
        <v>5</v>
      </c>
      <c r="AU49">
        <v>90</v>
      </c>
      <c r="AW49" s="30">
        <v>44</v>
      </c>
      <c r="AY49" s="30">
        <v>44</v>
      </c>
      <c r="BA49" s="30">
        <v>8</v>
      </c>
      <c r="BC49" s="30">
        <v>46</v>
      </c>
      <c r="BE49" s="30">
        <v>33</v>
      </c>
      <c r="BG49" s="30">
        <v>83</v>
      </c>
      <c r="BI49" s="30">
        <v>19</v>
      </c>
      <c r="BK49" s="30">
        <v>47</v>
      </c>
      <c r="BM49" s="769">
        <v>47</v>
      </c>
      <c r="BO49" s="30">
        <v>49</v>
      </c>
      <c r="BQ49" s="30">
        <v>81</v>
      </c>
      <c r="BS49" s="30">
        <v>18</v>
      </c>
      <c r="BU49" s="30">
        <v>63</v>
      </c>
      <c r="BW49" s="30">
        <v>87</v>
      </c>
      <c r="CC49" s="30">
        <v>7</v>
      </c>
    </row>
    <row r="50" spans="2:81" x14ac:dyDescent="0.2">
      <c r="B50" s="30">
        <v>80</v>
      </c>
      <c r="D50" s="30">
        <v>52</v>
      </c>
      <c r="F50" s="59"/>
      <c r="G50" s="34"/>
      <c r="H50" s="59"/>
      <c r="J50" s="30">
        <v>24</v>
      </c>
      <c r="L50" s="30">
        <v>8</v>
      </c>
      <c r="N50" s="30">
        <v>21</v>
      </c>
      <c r="P50" s="30">
        <v>18</v>
      </c>
      <c r="R50" s="30">
        <v>23</v>
      </c>
      <c r="T50" s="30">
        <v>21</v>
      </c>
      <c r="V50" s="30">
        <v>75</v>
      </c>
      <c r="X50" s="30">
        <v>15</v>
      </c>
      <c r="AA50" s="30">
        <v>24</v>
      </c>
      <c r="AC50" s="30">
        <v>31</v>
      </c>
      <c r="AE50" s="30">
        <v>22</v>
      </c>
      <c r="AG50" s="30">
        <v>48</v>
      </c>
      <c r="AI50" s="30">
        <v>2</v>
      </c>
      <c r="AK50" s="30">
        <v>15</v>
      </c>
      <c r="AM50" s="30">
        <v>9</v>
      </c>
      <c r="AO50" s="30">
        <v>47</v>
      </c>
      <c r="AQ50" s="495">
        <v>79</v>
      </c>
      <c r="AS50" s="30">
        <v>77</v>
      </c>
      <c r="AU50">
        <v>62</v>
      </c>
      <c r="AW50" s="30">
        <v>26</v>
      </c>
      <c r="AY50" s="30">
        <v>26</v>
      </c>
      <c r="BA50" s="30">
        <v>16</v>
      </c>
      <c r="BC50" s="30">
        <v>68</v>
      </c>
      <c r="BE50" s="30">
        <v>44</v>
      </c>
      <c r="BG50" s="30">
        <v>21</v>
      </c>
      <c r="BI50" s="30">
        <v>27</v>
      </c>
      <c r="BK50" s="30">
        <v>38</v>
      </c>
      <c r="BM50" s="769">
        <v>16</v>
      </c>
      <c r="BO50" s="30">
        <v>68</v>
      </c>
      <c r="BQ50" s="30">
        <v>71</v>
      </c>
      <c r="BS50" s="30">
        <v>19</v>
      </c>
      <c r="BU50" s="30">
        <v>45</v>
      </c>
      <c r="BW50" s="30">
        <v>75</v>
      </c>
      <c r="CC50" s="30">
        <v>44</v>
      </c>
    </row>
    <row r="51" spans="2:81" x14ac:dyDescent="0.2">
      <c r="B51" s="30">
        <v>37</v>
      </c>
      <c r="D51" s="30">
        <v>74</v>
      </c>
      <c r="F51" s="30">
        <v>52</v>
      </c>
      <c r="G51" s="34"/>
      <c r="H51" s="30">
        <v>13</v>
      </c>
      <c r="J51" s="30">
        <v>30</v>
      </c>
      <c r="L51" s="30">
        <v>2</v>
      </c>
      <c r="N51" s="30">
        <v>24</v>
      </c>
      <c r="P51" s="30">
        <v>18</v>
      </c>
      <c r="R51" s="30">
        <v>33</v>
      </c>
      <c r="T51" s="30">
        <v>37</v>
      </c>
      <c r="V51" s="30">
        <v>28</v>
      </c>
      <c r="X51" s="30">
        <v>58</v>
      </c>
      <c r="AA51" s="30">
        <v>15</v>
      </c>
      <c r="AC51" s="30">
        <v>93</v>
      </c>
      <c r="AE51" s="30">
        <v>10</v>
      </c>
      <c r="AG51" s="30">
        <v>24</v>
      </c>
      <c r="AI51" s="30">
        <v>10</v>
      </c>
      <c r="AK51" s="30">
        <v>59</v>
      </c>
      <c r="AM51" s="30">
        <v>54</v>
      </c>
      <c r="AO51" s="30">
        <v>92</v>
      </c>
      <c r="AQ51" s="495">
        <v>7</v>
      </c>
      <c r="AS51" s="30">
        <v>61</v>
      </c>
      <c r="AU51">
        <v>83</v>
      </c>
      <c r="AW51" s="30">
        <v>24</v>
      </c>
      <c r="AY51" s="30">
        <v>24</v>
      </c>
      <c r="BA51" s="30">
        <v>27</v>
      </c>
      <c r="BC51" s="30">
        <v>83</v>
      </c>
      <c r="BE51" s="30">
        <v>19</v>
      </c>
      <c r="BG51" s="30">
        <v>5</v>
      </c>
      <c r="BI51" s="30">
        <v>16</v>
      </c>
      <c r="BK51" s="30">
        <v>79</v>
      </c>
      <c r="BM51" s="769">
        <v>19</v>
      </c>
      <c r="BO51" s="30">
        <v>87</v>
      </c>
      <c r="BQ51" s="30">
        <v>15</v>
      </c>
      <c r="BS51" s="30">
        <v>26</v>
      </c>
      <c r="BU51" s="30">
        <v>100</v>
      </c>
      <c r="BW51" s="30">
        <v>36</v>
      </c>
      <c r="CC51" s="30">
        <v>70</v>
      </c>
    </row>
    <row r="52" spans="2:81" x14ac:dyDescent="0.2">
      <c r="B52" s="30">
        <v>41</v>
      </c>
      <c r="D52" s="30">
        <v>50</v>
      </c>
      <c r="F52" s="30">
        <v>15</v>
      </c>
      <c r="G52" s="34"/>
      <c r="H52" s="30">
        <v>41</v>
      </c>
      <c r="J52" s="30">
        <v>66</v>
      </c>
      <c r="L52" s="30">
        <v>41</v>
      </c>
      <c r="N52" s="30">
        <v>52</v>
      </c>
      <c r="P52" s="30">
        <v>19</v>
      </c>
      <c r="R52" s="30">
        <v>10</v>
      </c>
      <c r="T52" s="30">
        <v>14</v>
      </c>
      <c r="V52" s="30">
        <v>34</v>
      </c>
      <c r="X52" s="30">
        <v>11</v>
      </c>
      <c r="AA52" s="30">
        <v>58</v>
      </c>
      <c r="AC52" s="30">
        <v>21</v>
      </c>
      <c r="AE52" s="30">
        <v>47</v>
      </c>
      <c r="AG52" s="30">
        <v>14</v>
      </c>
      <c r="AI52" s="30">
        <v>70</v>
      </c>
      <c r="AK52" s="30">
        <v>2</v>
      </c>
      <c r="AM52" s="30">
        <v>1</v>
      </c>
      <c r="AO52" s="30">
        <v>24</v>
      </c>
      <c r="AQ52" s="495">
        <v>7</v>
      </c>
      <c r="AS52" s="30">
        <v>24</v>
      </c>
      <c r="AU52">
        <v>10</v>
      </c>
      <c r="AW52" s="30">
        <v>36</v>
      </c>
      <c r="AY52" s="30">
        <v>36</v>
      </c>
      <c r="BA52" s="30">
        <v>13</v>
      </c>
      <c r="BC52" s="30">
        <v>77</v>
      </c>
      <c r="BE52" s="30">
        <v>54</v>
      </c>
      <c r="BG52" s="30">
        <v>62</v>
      </c>
      <c r="BI52" s="30">
        <v>71</v>
      </c>
      <c r="BK52" s="30">
        <v>95</v>
      </c>
      <c r="BM52" s="769">
        <v>47</v>
      </c>
      <c r="BO52" s="30">
        <v>37</v>
      </c>
      <c r="BQ52" s="30">
        <v>97</v>
      </c>
      <c r="BS52" s="30">
        <v>18</v>
      </c>
      <c r="BU52" s="30">
        <v>70</v>
      </c>
      <c r="BW52" s="30">
        <v>54</v>
      </c>
      <c r="CC52" s="30">
        <v>12</v>
      </c>
    </row>
    <row r="53" spans="2:81" x14ac:dyDescent="0.2">
      <c r="B53" s="60">
        <v>7</v>
      </c>
      <c r="D53" s="30">
        <v>8</v>
      </c>
      <c r="F53" s="30">
        <v>54</v>
      </c>
      <c r="G53" s="34"/>
      <c r="H53" s="30">
        <v>32</v>
      </c>
      <c r="J53" s="30">
        <v>64</v>
      </c>
      <c r="L53" s="59"/>
      <c r="N53" s="59"/>
      <c r="P53" s="30">
        <v>19</v>
      </c>
      <c r="R53" s="30">
        <v>42</v>
      </c>
      <c r="T53" s="30">
        <v>39</v>
      </c>
      <c r="V53" s="30">
        <v>19</v>
      </c>
      <c r="X53" s="30">
        <v>65</v>
      </c>
      <c r="AA53" s="30">
        <v>11</v>
      </c>
      <c r="AC53" s="30">
        <v>20</v>
      </c>
      <c r="AD53" s="30" t="s">
        <v>115</v>
      </c>
      <c r="AE53" s="30">
        <v>8</v>
      </c>
      <c r="AG53" s="30">
        <v>44</v>
      </c>
      <c r="AI53" s="30">
        <v>25</v>
      </c>
      <c r="AK53" s="30">
        <v>7</v>
      </c>
      <c r="AM53" s="30">
        <v>10</v>
      </c>
      <c r="AO53" s="30">
        <v>19</v>
      </c>
      <c r="AQ53" s="495">
        <v>10</v>
      </c>
      <c r="AS53" s="30">
        <v>30</v>
      </c>
      <c r="AU53">
        <v>82</v>
      </c>
      <c r="AW53" s="30">
        <v>29</v>
      </c>
      <c r="AY53" s="30">
        <v>29</v>
      </c>
      <c r="BA53" s="30">
        <v>33</v>
      </c>
      <c r="BC53" s="30">
        <v>58</v>
      </c>
      <c r="BE53" s="30">
        <v>45</v>
      </c>
      <c r="BG53" s="30">
        <v>80</v>
      </c>
      <c r="BI53" s="30">
        <v>24</v>
      </c>
      <c r="BK53" s="30">
        <v>83</v>
      </c>
      <c r="BM53" s="769">
        <v>20</v>
      </c>
      <c r="BO53" s="30">
        <v>21</v>
      </c>
      <c r="BQ53" s="30">
        <v>32</v>
      </c>
      <c r="BS53" s="30">
        <v>10</v>
      </c>
      <c r="BU53" s="30">
        <v>21</v>
      </c>
      <c r="BW53" s="30">
        <v>43</v>
      </c>
      <c r="CC53" s="30">
        <v>34</v>
      </c>
    </row>
    <row r="54" spans="2:81" x14ac:dyDescent="0.2">
      <c r="B54" s="30">
        <v>36</v>
      </c>
      <c r="C54" s="30" t="s">
        <v>116</v>
      </c>
      <c r="D54" s="30">
        <v>32</v>
      </c>
      <c r="F54" s="30">
        <v>100</v>
      </c>
      <c r="G54" s="34"/>
      <c r="H54" s="30">
        <v>72</v>
      </c>
      <c r="J54" s="30">
        <v>41</v>
      </c>
      <c r="L54" s="30">
        <v>100</v>
      </c>
      <c r="N54" s="30">
        <v>19</v>
      </c>
      <c r="P54" s="30">
        <v>19</v>
      </c>
      <c r="R54" s="30">
        <v>18</v>
      </c>
      <c r="T54" s="30">
        <v>18</v>
      </c>
      <c r="V54" s="30">
        <v>18</v>
      </c>
      <c r="X54" s="30">
        <v>5</v>
      </c>
      <c r="AA54" s="30">
        <v>65</v>
      </c>
      <c r="AC54" s="30">
        <v>95</v>
      </c>
      <c r="AE54" s="30">
        <v>12</v>
      </c>
      <c r="AG54" s="30">
        <v>3</v>
      </c>
      <c r="AI54" s="30">
        <v>36</v>
      </c>
      <c r="AK54" s="30">
        <v>58</v>
      </c>
      <c r="AM54" s="30">
        <v>55</v>
      </c>
      <c r="AO54" s="30">
        <v>11</v>
      </c>
      <c r="AQ54" s="495">
        <v>55</v>
      </c>
      <c r="AS54" s="30">
        <v>83</v>
      </c>
      <c r="AU54">
        <v>78</v>
      </c>
      <c r="AW54" s="30">
        <v>9</v>
      </c>
      <c r="AY54" s="30">
        <v>9</v>
      </c>
      <c r="BA54" s="30">
        <v>61</v>
      </c>
      <c r="BC54" s="30">
        <v>31</v>
      </c>
      <c r="BE54" s="30">
        <v>9</v>
      </c>
      <c r="BG54" s="30">
        <v>29</v>
      </c>
      <c r="BI54" s="30">
        <v>73</v>
      </c>
      <c r="BK54" s="30">
        <v>13</v>
      </c>
      <c r="BM54" s="769">
        <v>14</v>
      </c>
      <c r="BO54" s="30">
        <v>32</v>
      </c>
      <c r="BQ54" s="30">
        <v>0</v>
      </c>
      <c r="BS54" s="30">
        <v>50</v>
      </c>
      <c r="BU54" s="30">
        <v>75</v>
      </c>
      <c r="BW54" s="30">
        <v>4</v>
      </c>
      <c r="CC54" s="30">
        <v>96</v>
      </c>
    </row>
    <row r="55" spans="2:81" x14ac:dyDescent="0.2">
      <c r="B55" s="30">
        <v>80</v>
      </c>
      <c r="D55" s="30">
        <v>56</v>
      </c>
      <c r="F55" s="30">
        <v>30</v>
      </c>
      <c r="G55" s="34"/>
      <c r="H55" s="30">
        <v>29</v>
      </c>
      <c r="J55" s="30">
        <v>40</v>
      </c>
      <c r="L55" s="30">
        <v>15</v>
      </c>
      <c r="N55" s="30">
        <v>37</v>
      </c>
      <c r="P55" s="30">
        <v>19</v>
      </c>
      <c r="R55" s="30">
        <v>40</v>
      </c>
      <c r="T55" s="30">
        <v>39</v>
      </c>
      <c r="V55" s="30">
        <v>21</v>
      </c>
      <c r="X55" s="30">
        <v>37</v>
      </c>
      <c r="AA55" s="30">
        <v>5</v>
      </c>
      <c r="AC55" s="30">
        <v>17</v>
      </c>
      <c r="AE55" s="30">
        <v>18</v>
      </c>
      <c r="AG55" s="30">
        <v>12</v>
      </c>
      <c r="AI55" s="30">
        <v>19</v>
      </c>
      <c r="AK55" s="30">
        <v>16</v>
      </c>
      <c r="AM55" s="30">
        <v>16</v>
      </c>
      <c r="AO55" s="30">
        <v>96</v>
      </c>
      <c r="AQ55" s="495">
        <v>51</v>
      </c>
      <c r="AS55" s="30">
        <v>67</v>
      </c>
      <c r="AU55">
        <v>43</v>
      </c>
      <c r="AW55" s="30">
        <v>0</v>
      </c>
      <c r="AY55" s="30">
        <v>0</v>
      </c>
      <c r="BA55" s="30">
        <v>50</v>
      </c>
      <c r="BC55" s="30">
        <v>44</v>
      </c>
      <c r="BE55" s="30">
        <v>14</v>
      </c>
      <c r="BG55" s="30">
        <v>63</v>
      </c>
      <c r="BI55" s="30">
        <v>48</v>
      </c>
      <c r="BK55" s="30">
        <v>58</v>
      </c>
      <c r="BM55" s="769">
        <v>17</v>
      </c>
      <c r="BO55" s="30">
        <v>24</v>
      </c>
      <c r="BQ55" s="30">
        <v>42</v>
      </c>
      <c r="BS55" s="30">
        <v>64</v>
      </c>
      <c r="BU55" s="30">
        <v>91</v>
      </c>
      <c r="BW55" s="30">
        <v>41</v>
      </c>
      <c r="CC55" s="30">
        <v>92</v>
      </c>
    </row>
    <row r="56" spans="2:81" x14ac:dyDescent="0.2">
      <c r="B56" s="30">
        <v>24</v>
      </c>
      <c r="D56" s="30">
        <v>60</v>
      </c>
      <c r="F56" s="30">
        <v>85</v>
      </c>
      <c r="G56" s="34"/>
      <c r="H56" s="30">
        <v>76</v>
      </c>
      <c r="J56" s="30">
        <v>11</v>
      </c>
      <c r="L56" s="30">
        <v>24</v>
      </c>
      <c r="N56" s="30">
        <v>70</v>
      </c>
      <c r="P56" s="30">
        <v>20</v>
      </c>
      <c r="R56" s="30">
        <v>54</v>
      </c>
      <c r="T56" s="30">
        <v>49</v>
      </c>
      <c r="V56" s="30">
        <v>76</v>
      </c>
      <c r="W56" s="30" t="s">
        <v>115</v>
      </c>
      <c r="X56" s="30">
        <v>94</v>
      </c>
      <c r="Y56" s="30" t="s">
        <v>115</v>
      </c>
      <c r="AA56" s="30">
        <v>37</v>
      </c>
      <c r="AB56" s="30" t="s">
        <v>115</v>
      </c>
      <c r="AC56" s="30">
        <v>79</v>
      </c>
      <c r="AE56" s="30">
        <v>84</v>
      </c>
      <c r="AG56" s="30">
        <v>62</v>
      </c>
      <c r="AI56" s="30">
        <v>13</v>
      </c>
      <c r="AK56" s="30">
        <v>83</v>
      </c>
      <c r="AM56" s="30">
        <v>76</v>
      </c>
      <c r="AO56" s="30">
        <v>72</v>
      </c>
      <c r="AQ56" s="495">
        <v>65</v>
      </c>
      <c r="AS56" s="30">
        <v>29</v>
      </c>
      <c r="AU56">
        <v>9</v>
      </c>
      <c r="AW56" s="30">
        <v>47</v>
      </c>
      <c r="AY56" s="30">
        <v>47</v>
      </c>
      <c r="BA56" s="30">
        <v>13</v>
      </c>
      <c r="BC56" s="30">
        <v>42</v>
      </c>
      <c r="BE56" s="30">
        <v>46</v>
      </c>
      <c r="BG56" s="30">
        <v>21</v>
      </c>
      <c r="BI56" s="30">
        <v>91</v>
      </c>
      <c r="BK56" s="30">
        <v>8</v>
      </c>
      <c r="BM56" s="769">
        <v>57</v>
      </c>
      <c r="BO56" s="30">
        <v>32</v>
      </c>
      <c r="BQ56" s="30">
        <v>14</v>
      </c>
      <c r="BS56" s="30">
        <v>24</v>
      </c>
      <c r="BU56" s="30">
        <v>41</v>
      </c>
      <c r="BW56" s="30">
        <v>26</v>
      </c>
      <c r="CC56" s="30">
        <v>74</v>
      </c>
    </row>
    <row r="57" spans="2:81" x14ac:dyDescent="0.2">
      <c r="B57" s="30">
        <v>44</v>
      </c>
      <c r="D57" s="30">
        <v>13</v>
      </c>
      <c r="F57" s="30">
        <v>13</v>
      </c>
      <c r="G57" s="34"/>
      <c r="H57" s="30">
        <v>76</v>
      </c>
      <c r="J57" s="30">
        <v>79</v>
      </c>
      <c r="L57" s="30">
        <v>14</v>
      </c>
      <c r="N57" s="30">
        <v>9</v>
      </c>
      <c r="P57" s="30">
        <v>20</v>
      </c>
      <c r="R57" s="30">
        <v>33</v>
      </c>
      <c r="T57" s="30">
        <v>55</v>
      </c>
      <c r="V57" s="30">
        <v>9</v>
      </c>
      <c r="X57" s="30">
        <v>73</v>
      </c>
      <c r="AA57" s="30">
        <v>94</v>
      </c>
      <c r="AC57" s="30">
        <v>6</v>
      </c>
      <c r="AE57" s="30">
        <v>26</v>
      </c>
      <c r="AF57" s="30" t="s">
        <v>115</v>
      </c>
      <c r="AG57" s="30">
        <v>8</v>
      </c>
      <c r="AH57" s="30" t="s">
        <v>115</v>
      </c>
      <c r="AI57" s="30">
        <v>70</v>
      </c>
      <c r="AJ57" s="30" t="s">
        <v>115</v>
      </c>
      <c r="AK57" s="30">
        <v>26</v>
      </c>
      <c r="AL57" s="30" t="s">
        <v>115</v>
      </c>
      <c r="AM57" s="30">
        <v>30</v>
      </c>
      <c r="AO57" s="30">
        <v>26</v>
      </c>
      <c r="AQ57" s="495">
        <v>28</v>
      </c>
      <c r="AS57" s="30">
        <v>33</v>
      </c>
      <c r="AU57">
        <v>8</v>
      </c>
      <c r="AW57" s="30">
        <v>49</v>
      </c>
      <c r="AY57" s="30">
        <v>49</v>
      </c>
      <c r="BA57" s="30">
        <v>1</v>
      </c>
      <c r="BC57" s="30">
        <v>80</v>
      </c>
      <c r="BE57" s="30">
        <v>78</v>
      </c>
      <c r="BG57" s="30">
        <v>78</v>
      </c>
      <c r="BI57" s="30">
        <v>43</v>
      </c>
      <c r="BK57" s="30">
        <v>8</v>
      </c>
      <c r="BM57" s="769">
        <v>57</v>
      </c>
      <c r="BO57" s="30">
        <v>29</v>
      </c>
      <c r="BQ57" s="30">
        <v>0</v>
      </c>
      <c r="BS57" s="30">
        <v>31</v>
      </c>
      <c r="BU57" s="30">
        <v>25</v>
      </c>
      <c r="BW57" s="30">
        <v>32</v>
      </c>
      <c r="CC57" s="30">
        <v>35</v>
      </c>
    </row>
    <row r="58" spans="2:81" x14ac:dyDescent="0.2">
      <c r="B58" s="30">
        <v>45</v>
      </c>
      <c r="D58" s="30">
        <v>12</v>
      </c>
      <c r="F58" s="30">
        <v>31</v>
      </c>
      <c r="G58" s="34"/>
      <c r="H58" s="30">
        <v>49</v>
      </c>
      <c r="J58" s="30">
        <v>20</v>
      </c>
      <c r="L58" s="30">
        <v>75</v>
      </c>
      <c r="N58" s="30">
        <v>0</v>
      </c>
      <c r="P58" s="30">
        <v>20</v>
      </c>
      <c r="R58" s="30">
        <v>96</v>
      </c>
      <c r="T58" s="30">
        <v>31</v>
      </c>
      <c r="V58" s="30">
        <v>39</v>
      </c>
      <c r="X58" s="30">
        <v>25</v>
      </c>
      <c r="AA58" s="30">
        <v>73</v>
      </c>
      <c r="AC58" s="30">
        <v>41</v>
      </c>
      <c r="AE58" s="30">
        <v>68</v>
      </c>
      <c r="AG58" s="30">
        <v>84</v>
      </c>
      <c r="AI58" s="30">
        <v>11</v>
      </c>
      <c r="AK58" s="30">
        <v>51</v>
      </c>
      <c r="AM58" s="30">
        <v>38</v>
      </c>
      <c r="AO58" s="30">
        <v>3</v>
      </c>
      <c r="AQ58" s="495">
        <v>8</v>
      </c>
      <c r="AS58" s="30">
        <v>35</v>
      </c>
      <c r="AU58">
        <v>28</v>
      </c>
      <c r="AW58" s="30">
        <v>38</v>
      </c>
      <c r="AY58" s="30">
        <v>38</v>
      </c>
      <c r="BA58" s="30">
        <v>1</v>
      </c>
      <c r="BC58" s="30">
        <v>36</v>
      </c>
      <c r="BE58" s="30">
        <v>46</v>
      </c>
      <c r="BG58" s="30">
        <v>35</v>
      </c>
      <c r="BI58" s="30">
        <v>64</v>
      </c>
      <c r="BK58" s="30">
        <v>63</v>
      </c>
      <c r="BM58" s="769">
        <v>46</v>
      </c>
      <c r="BO58" s="30">
        <v>35</v>
      </c>
      <c r="BQ58" s="30">
        <v>9</v>
      </c>
      <c r="BS58" s="30">
        <v>45</v>
      </c>
      <c r="BU58" s="30">
        <v>11</v>
      </c>
      <c r="BW58" s="30">
        <v>66</v>
      </c>
      <c r="CC58" s="30">
        <v>49</v>
      </c>
    </row>
    <row r="59" spans="2:81" x14ac:dyDescent="0.2">
      <c r="B59" s="30">
        <v>76</v>
      </c>
      <c r="D59" s="30">
        <v>73</v>
      </c>
      <c r="F59" s="30">
        <v>75</v>
      </c>
      <c r="G59" s="34"/>
      <c r="H59" s="30">
        <v>74</v>
      </c>
      <c r="J59" s="30">
        <v>22</v>
      </c>
      <c r="L59" s="30">
        <v>59</v>
      </c>
      <c r="N59" s="30">
        <v>34</v>
      </c>
      <c r="P59" s="30">
        <v>20</v>
      </c>
      <c r="R59" s="30">
        <v>16</v>
      </c>
      <c r="T59" s="30">
        <v>94</v>
      </c>
      <c r="V59" s="30">
        <v>60</v>
      </c>
      <c r="X59" s="30">
        <v>6</v>
      </c>
      <c r="AA59" s="30">
        <v>25</v>
      </c>
      <c r="AC59" s="30">
        <v>79</v>
      </c>
      <c r="AE59" s="30">
        <v>12</v>
      </c>
      <c r="AG59" s="30">
        <v>18</v>
      </c>
      <c r="AI59" s="30">
        <v>17</v>
      </c>
      <c r="AK59" s="30">
        <v>26</v>
      </c>
      <c r="AM59" s="30">
        <v>24</v>
      </c>
      <c r="AO59" s="30">
        <v>45</v>
      </c>
      <c r="AQ59" s="495">
        <v>21</v>
      </c>
      <c r="AS59" s="30">
        <v>55</v>
      </c>
      <c r="AU59">
        <v>87</v>
      </c>
      <c r="AW59" s="30">
        <v>52</v>
      </c>
      <c r="AY59" s="30">
        <v>52</v>
      </c>
      <c r="BA59" s="30">
        <v>23</v>
      </c>
      <c r="BC59" s="30">
        <v>10</v>
      </c>
      <c r="BE59" s="30">
        <v>54</v>
      </c>
      <c r="BG59" s="30">
        <v>57</v>
      </c>
      <c r="BI59" s="30">
        <v>11</v>
      </c>
      <c r="BK59" s="30">
        <v>80</v>
      </c>
      <c r="BM59" s="769">
        <v>69</v>
      </c>
      <c r="BO59" s="30">
        <v>35</v>
      </c>
      <c r="BQ59" s="30">
        <v>46</v>
      </c>
      <c r="BS59" s="30">
        <v>95</v>
      </c>
      <c r="BU59" s="30">
        <v>59</v>
      </c>
      <c r="BW59" s="30">
        <v>37</v>
      </c>
      <c r="CC59" s="30">
        <v>40</v>
      </c>
    </row>
    <row r="60" spans="2:81" x14ac:dyDescent="0.2">
      <c r="B60" s="30">
        <v>25</v>
      </c>
      <c r="D60" s="30">
        <v>43</v>
      </c>
      <c r="F60" s="30">
        <v>29</v>
      </c>
      <c r="G60" s="34"/>
      <c r="H60" s="30">
        <v>20</v>
      </c>
      <c r="J60" s="30">
        <v>56</v>
      </c>
      <c r="L60" s="30">
        <v>17</v>
      </c>
      <c r="N60" s="30">
        <v>80</v>
      </c>
      <c r="P60" s="30">
        <v>20</v>
      </c>
      <c r="R60" s="30">
        <v>36</v>
      </c>
      <c r="T60" s="30">
        <v>15</v>
      </c>
      <c r="V60" s="30">
        <v>69</v>
      </c>
      <c r="X60" s="30">
        <v>49</v>
      </c>
      <c r="AA60" s="30">
        <v>6</v>
      </c>
      <c r="AC60" s="30">
        <v>4</v>
      </c>
      <c r="AE60" s="30">
        <v>49</v>
      </c>
      <c r="AG60" s="30">
        <v>15</v>
      </c>
      <c r="AI60" s="30">
        <v>90</v>
      </c>
      <c r="AK60" s="30">
        <v>71</v>
      </c>
      <c r="AM60" s="30">
        <v>76</v>
      </c>
      <c r="AO60" s="30">
        <v>57</v>
      </c>
      <c r="AQ60" s="495">
        <v>37</v>
      </c>
      <c r="AS60" s="30">
        <v>24</v>
      </c>
      <c r="AU60">
        <v>74</v>
      </c>
      <c r="AW60" s="30">
        <v>66</v>
      </c>
      <c r="AY60" s="30">
        <v>66</v>
      </c>
      <c r="BA60" s="30">
        <v>59</v>
      </c>
      <c r="BC60" s="30">
        <v>3</v>
      </c>
      <c r="BE60" s="30">
        <v>28</v>
      </c>
      <c r="BG60" s="30">
        <v>27</v>
      </c>
      <c r="BI60" s="30">
        <v>25</v>
      </c>
      <c r="BK60" s="30">
        <v>49</v>
      </c>
      <c r="BM60" s="769">
        <v>24</v>
      </c>
      <c r="BO60" s="30">
        <v>54</v>
      </c>
      <c r="BQ60" s="30">
        <v>86</v>
      </c>
      <c r="BS60" s="30">
        <v>70</v>
      </c>
      <c r="BU60" s="30">
        <v>60</v>
      </c>
      <c r="BW60" s="30">
        <v>48</v>
      </c>
      <c r="CC60" s="30">
        <v>71</v>
      </c>
    </row>
    <row r="61" spans="2:81" x14ac:dyDescent="0.2">
      <c r="B61" s="30">
        <v>95</v>
      </c>
      <c r="D61" s="30">
        <v>97</v>
      </c>
      <c r="F61" s="30">
        <v>22</v>
      </c>
      <c r="G61" s="34"/>
      <c r="H61" s="30">
        <v>35</v>
      </c>
      <c r="J61" s="30">
        <v>22</v>
      </c>
      <c r="L61" s="30">
        <v>67</v>
      </c>
      <c r="N61" s="30">
        <v>18</v>
      </c>
      <c r="P61" s="30">
        <v>20</v>
      </c>
      <c r="R61" s="30">
        <v>28</v>
      </c>
      <c r="T61" s="30">
        <v>27</v>
      </c>
      <c r="V61" s="30">
        <v>78</v>
      </c>
      <c r="X61" s="30">
        <v>23</v>
      </c>
      <c r="AA61" s="30">
        <v>49</v>
      </c>
      <c r="AC61" s="30">
        <v>81</v>
      </c>
      <c r="AE61" s="30">
        <v>28</v>
      </c>
      <c r="AG61" s="30">
        <v>27</v>
      </c>
      <c r="AI61" s="30">
        <v>17</v>
      </c>
      <c r="AK61" s="30">
        <v>0</v>
      </c>
      <c r="AM61" s="30">
        <v>4</v>
      </c>
      <c r="AO61" s="30">
        <v>72</v>
      </c>
      <c r="AQ61" s="495">
        <v>1</v>
      </c>
      <c r="AS61" s="30">
        <v>97</v>
      </c>
      <c r="AU61">
        <v>9</v>
      </c>
      <c r="AW61" s="30">
        <v>22</v>
      </c>
      <c r="AY61" s="30">
        <v>22</v>
      </c>
      <c r="BA61" s="30">
        <v>51</v>
      </c>
      <c r="BC61" s="30">
        <v>26</v>
      </c>
      <c r="BE61" s="30">
        <v>9</v>
      </c>
      <c r="BG61" s="30">
        <v>81</v>
      </c>
      <c r="BI61" s="30">
        <v>25</v>
      </c>
      <c r="BK61" s="30">
        <v>11</v>
      </c>
      <c r="BM61" s="769">
        <v>32</v>
      </c>
      <c r="BO61" s="30">
        <v>22</v>
      </c>
      <c r="BQ61" s="30">
        <v>26</v>
      </c>
      <c r="BS61" s="30">
        <v>57</v>
      </c>
      <c r="BU61" s="30">
        <v>74</v>
      </c>
      <c r="BW61" s="30">
        <v>8</v>
      </c>
      <c r="CC61" s="30">
        <v>100</v>
      </c>
    </row>
    <row r="62" spans="2:81" x14ac:dyDescent="0.2">
      <c r="B62" s="30">
        <v>78</v>
      </c>
      <c r="D62" s="30">
        <v>72</v>
      </c>
      <c r="F62" s="30">
        <v>72</v>
      </c>
      <c r="G62" s="34"/>
      <c r="H62" s="30">
        <v>50</v>
      </c>
      <c r="J62" s="30">
        <v>48</v>
      </c>
      <c r="L62" s="30">
        <v>70</v>
      </c>
      <c r="N62" s="30">
        <v>23</v>
      </c>
      <c r="P62" s="30">
        <v>20</v>
      </c>
      <c r="R62" s="30">
        <v>86</v>
      </c>
      <c r="T62" s="30">
        <v>22</v>
      </c>
      <c r="V62" s="30">
        <v>19</v>
      </c>
      <c r="X62" s="30">
        <v>19</v>
      </c>
      <c r="AA62" s="30">
        <v>23</v>
      </c>
      <c r="AC62" s="30">
        <v>23</v>
      </c>
      <c r="AE62" s="30">
        <v>66</v>
      </c>
      <c r="AG62" s="30">
        <v>51</v>
      </c>
      <c r="AI62" s="30">
        <v>0</v>
      </c>
      <c r="AK62" s="30">
        <v>13</v>
      </c>
      <c r="AM62" s="30">
        <v>15</v>
      </c>
      <c r="AO62" s="30">
        <v>3</v>
      </c>
      <c r="AQ62" s="495">
        <v>17</v>
      </c>
      <c r="AS62" s="30">
        <v>71</v>
      </c>
      <c r="AU62">
        <v>0</v>
      </c>
      <c r="AW62" s="30">
        <v>7</v>
      </c>
      <c r="AY62" s="30">
        <v>7</v>
      </c>
      <c r="BA62" s="30">
        <v>2</v>
      </c>
      <c r="BC62" s="30">
        <v>10</v>
      </c>
      <c r="BE62" s="30">
        <v>70</v>
      </c>
      <c r="BG62" s="30">
        <v>15</v>
      </c>
      <c r="BI62" s="30">
        <v>32</v>
      </c>
      <c r="BK62" s="30">
        <v>28</v>
      </c>
      <c r="BM62" s="769">
        <v>62</v>
      </c>
      <c r="BO62" s="30">
        <v>48</v>
      </c>
      <c r="BQ62" s="30">
        <v>16</v>
      </c>
      <c r="BS62" s="30">
        <v>25</v>
      </c>
      <c r="BU62" s="30">
        <v>28</v>
      </c>
      <c r="BW62" s="30">
        <v>92</v>
      </c>
      <c r="CC62" s="30">
        <v>78</v>
      </c>
    </row>
    <row r="63" spans="2:81" x14ac:dyDescent="0.2">
      <c r="B63" s="30">
        <v>33</v>
      </c>
      <c r="D63" s="30">
        <v>90</v>
      </c>
      <c r="F63" s="30">
        <v>45</v>
      </c>
      <c r="G63" s="34"/>
      <c r="H63" s="30">
        <v>38</v>
      </c>
      <c r="J63" s="30">
        <v>10</v>
      </c>
      <c r="L63" s="30">
        <v>30</v>
      </c>
      <c r="N63" s="30">
        <v>8</v>
      </c>
      <c r="P63" s="30">
        <v>20</v>
      </c>
      <c r="R63" s="30">
        <v>15</v>
      </c>
      <c r="T63" s="30">
        <v>76</v>
      </c>
      <c r="V63" s="30">
        <v>40</v>
      </c>
      <c r="X63" s="30">
        <v>15</v>
      </c>
      <c r="AA63" s="30">
        <v>19</v>
      </c>
      <c r="AC63" s="30">
        <v>21</v>
      </c>
      <c r="AE63" s="30">
        <v>39</v>
      </c>
      <c r="AG63" s="30">
        <v>16</v>
      </c>
      <c r="AI63" s="30">
        <v>6</v>
      </c>
      <c r="AK63" s="30">
        <v>88</v>
      </c>
      <c r="AM63" s="30">
        <v>89</v>
      </c>
      <c r="AO63" s="30">
        <v>28</v>
      </c>
      <c r="AQ63" s="495">
        <v>74</v>
      </c>
      <c r="AS63" s="30">
        <v>67</v>
      </c>
      <c r="AU63">
        <v>23</v>
      </c>
      <c r="AW63" s="30">
        <v>14</v>
      </c>
      <c r="AY63" s="30">
        <v>14</v>
      </c>
      <c r="BA63" s="30">
        <v>8</v>
      </c>
      <c r="BC63" s="30">
        <v>26</v>
      </c>
      <c r="BE63" s="30">
        <v>3</v>
      </c>
      <c r="BG63" s="30">
        <v>27</v>
      </c>
      <c r="BI63" s="30">
        <v>65</v>
      </c>
      <c r="BK63" s="30">
        <v>94</v>
      </c>
      <c r="BM63" s="769">
        <v>71</v>
      </c>
      <c r="BO63" s="30">
        <v>61</v>
      </c>
      <c r="BQ63" s="30">
        <v>41</v>
      </c>
      <c r="BS63" s="30">
        <v>6</v>
      </c>
      <c r="BU63" s="30">
        <v>19</v>
      </c>
      <c r="BW63" s="30">
        <v>62</v>
      </c>
      <c r="CC63" s="30">
        <v>69</v>
      </c>
    </row>
    <row r="64" spans="2:81" x14ac:dyDescent="0.2">
      <c r="B64" s="30">
        <v>62</v>
      </c>
      <c r="D64" s="30">
        <v>89</v>
      </c>
      <c r="F64" s="30">
        <v>39</v>
      </c>
      <c r="G64" s="34"/>
      <c r="H64" s="30">
        <v>90</v>
      </c>
      <c r="J64" s="30">
        <v>63</v>
      </c>
      <c r="L64" s="30">
        <v>19</v>
      </c>
      <c r="N64" s="30">
        <v>55</v>
      </c>
      <c r="P64" s="30">
        <v>21</v>
      </c>
      <c r="R64" s="30">
        <v>35</v>
      </c>
      <c r="T64" s="30">
        <v>14</v>
      </c>
      <c r="V64" s="30">
        <v>44</v>
      </c>
      <c r="X64" s="30">
        <v>22</v>
      </c>
      <c r="AA64" s="30">
        <v>15</v>
      </c>
      <c r="AC64" s="30">
        <v>16</v>
      </c>
      <c r="AE64" s="30">
        <v>31</v>
      </c>
      <c r="AG64" s="30">
        <v>15</v>
      </c>
      <c r="AI64" s="30">
        <v>72</v>
      </c>
      <c r="AK64" s="30">
        <v>17</v>
      </c>
      <c r="AM64" s="30">
        <v>22</v>
      </c>
      <c r="AO64" s="30">
        <v>0</v>
      </c>
      <c r="AQ64" s="495">
        <v>73</v>
      </c>
      <c r="AS64" s="30">
        <v>25</v>
      </c>
      <c r="AU64">
        <v>44</v>
      </c>
      <c r="AW64" s="30">
        <v>0</v>
      </c>
      <c r="AY64" s="30">
        <v>0</v>
      </c>
      <c r="BA64" s="30">
        <v>10</v>
      </c>
      <c r="BC64" s="30">
        <v>40</v>
      </c>
      <c r="BE64" s="30">
        <v>50</v>
      </c>
      <c r="BG64" s="30">
        <v>56</v>
      </c>
      <c r="BI64" s="30">
        <v>9</v>
      </c>
      <c r="BK64" s="30">
        <v>47</v>
      </c>
      <c r="BM64" s="769">
        <v>47</v>
      </c>
      <c r="BO64" s="30">
        <v>49</v>
      </c>
      <c r="BQ64" s="30">
        <v>20</v>
      </c>
      <c r="BS64" s="30">
        <v>66</v>
      </c>
      <c r="BU64" s="30">
        <v>45</v>
      </c>
      <c r="BW64" s="30">
        <v>22</v>
      </c>
      <c r="CC64" s="30">
        <v>95</v>
      </c>
    </row>
    <row r="65" spans="2:81" x14ac:dyDescent="0.2">
      <c r="B65" s="30">
        <v>20</v>
      </c>
      <c r="D65" s="30">
        <v>50</v>
      </c>
      <c r="F65" s="30">
        <v>73</v>
      </c>
      <c r="G65" s="34"/>
      <c r="H65" s="30">
        <v>50</v>
      </c>
      <c r="J65" s="30">
        <v>32</v>
      </c>
      <c r="L65" s="30">
        <v>26</v>
      </c>
      <c r="N65" s="30">
        <v>38</v>
      </c>
      <c r="P65" s="30">
        <v>21</v>
      </c>
      <c r="R65" s="30">
        <v>25</v>
      </c>
      <c r="T65" s="30">
        <v>26</v>
      </c>
      <c r="V65" s="30">
        <v>89</v>
      </c>
      <c r="X65" s="30">
        <v>63</v>
      </c>
      <c r="AA65" s="30">
        <v>22</v>
      </c>
      <c r="AC65" s="30">
        <v>33</v>
      </c>
      <c r="AE65" s="30">
        <v>70</v>
      </c>
      <c r="AG65" s="30">
        <v>92</v>
      </c>
      <c r="AI65" s="30">
        <v>75</v>
      </c>
      <c r="AK65" s="30">
        <v>2</v>
      </c>
      <c r="AM65" s="30">
        <v>0</v>
      </c>
      <c r="AO65" s="30">
        <v>19</v>
      </c>
      <c r="AQ65" s="495">
        <v>17</v>
      </c>
      <c r="AS65" s="30">
        <v>88</v>
      </c>
      <c r="AU65">
        <v>47</v>
      </c>
      <c r="AW65" s="30">
        <v>0</v>
      </c>
      <c r="AY65" s="30">
        <v>0</v>
      </c>
      <c r="BA65" s="30">
        <v>14</v>
      </c>
      <c r="BC65" s="30">
        <v>53</v>
      </c>
      <c r="BE65" s="30">
        <v>66</v>
      </c>
      <c r="BG65" s="30">
        <v>57</v>
      </c>
      <c r="BI65" s="30">
        <v>57</v>
      </c>
      <c r="BK65" s="30">
        <v>92</v>
      </c>
      <c r="BM65" s="769">
        <v>63</v>
      </c>
      <c r="BO65" s="30">
        <v>24</v>
      </c>
      <c r="BQ65" s="30">
        <v>25</v>
      </c>
      <c r="BS65" s="30">
        <v>30</v>
      </c>
      <c r="BU65" s="30">
        <v>53</v>
      </c>
      <c r="BW65" s="30">
        <v>72</v>
      </c>
      <c r="CC65" s="30">
        <v>61</v>
      </c>
    </row>
    <row r="66" spans="2:81" x14ac:dyDescent="0.2">
      <c r="B66" s="30">
        <v>22</v>
      </c>
      <c r="D66" s="30">
        <v>20</v>
      </c>
      <c r="F66" s="30">
        <v>24</v>
      </c>
      <c r="G66" s="34"/>
      <c r="H66" s="30">
        <v>45</v>
      </c>
      <c r="J66" s="30">
        <v>33</v>
      </c>
      <c r="L66" s="30">
        <v>49</v>
      </c>
      <c r="N66" s="30">
        <v>13</v>
      </c>
      <c r="P66" s="30">
        <v>21</v>
      </c>
      <c r="R66" s="30">
        <v>22</v>
      </c>
      <c r="T66" s="30">
        <v>20</v>
      </c>
      <c r="V66" s="30">
        <v>14</v>
      </c>
      <c r="X66" s="30">
        <v>9</v>
      </c>
      <c r="AA66" s="30">
        <v>63</v>
      </c>
      <c r="AC66" s="30">
        <v>77</v>
      </c>
      <c r="AE66" s="30">
        <v>99</v>
      </c>
      <c r="AG66" s="30">
        <v>75</v>
      </c>
      <c r="AI66" s="30">
        <v>13</v>
      </c>
      <c r="AK66" s="30">
        <v>9</v>
      </c>
      <c r="AM66" s="30">
        <v>10</v>
      </c>
      <c r="AO66" s="30">
        <v>54</v>
      </c>
      <c r="AQ66" s="495">
        <v>0</v>
      </c>
      <c r="AS66" s="30">
        <v>27</v>
      </c>
      <c r="AU66">
        <v>29</v>
      </c>
      <c r="AW66" s="30">
        <v>6</v>
      </c>
      <c r="AY66" s="30">
        <v>6</v>
      </c>
      <c r="BA66" s="30">
        <v>8</v>
      </c>
      <c r="BC66" s="30">
        <v>14</v>
      </c>
      <c r="BE66" s="30">
        <v>15</v>
      </c>
      <c r="BG66" s="30">
        <v>64</v>
      </c>
      <c r="BI66" s="30">
        <v>50</v>
      </c>
      <c r="BK66" s="30">
        <v>84</v>
      </c>
      <c r="BM66" s="769">
        <v>48</v>
      </c>
      <c r="BO66" s="30">
        <v>64</v>
      </c>
      <c r="BQ66" s="30">
        <v>37</v>
      </c>
      <c r="BS66" s="30">
        <v>21</v>
      </c>
      <c r="BU66" s="30">
        <v>47</v>
      </c>
      <c r="BW66" s="30">
        <v>84</v>
      </c>
      <c r="CC66" s="30">
        <v>16</v>
      </c>
    </row>
    <row r="67" spans="2:81" x14ac:dyDescent="0.2">
      <c r="B67" s="30">
        <v>3</v>
      </c>
      <c r="D67" s="30">
        <v>5</v>
      </c>
      <c r="F67" s="30">
        <v>39</v>
      </c>
      <c r="G67" s="34"/>
      <c r="H67" s="30">
        <v>10</v>
      </c>
      <c r="J67" s="30">
        <v>36</v>
      </c>
      <c r="L67" s="30">
        <v>36</v>
      </c>
      <c r="N67" s="30">
        <v>15</v>
      </c>
      <c r="P67" s="30">
        <v>23</v>
      </c>
      <c r="R67" s="30">
        <v>8</v>
      </c>
      <c r="T67" s="30">
        <v>22</v>
      </c>
      <c r="V67" s="30">
        <v>34</v>
      </c>
      <c r="X67" s="30">
        <v>30</v>
      </c>
      <c r="AA67" s="30">
        <v>9</v>
      </c>
      <c r="AC67" s="30">
        <v>14</v>
      </c>
      <c r="AE67" s="30">
        <v>15</v>
      </c>
      <c r="AG67" s="30">
        <v>13</v>
      </c>
      <c r="AI67" s="30">
        <v>52</v>
      </c>
      <c r="AK67" s="30">
        <v>55</v>
      </c>
      <c r="AM67" s="30">
        <v>47</v>
      </c>
      <c r="AO67" s="30">
        <v>34</v>
      </c>
      <c r="AQ67" s="495">
        <v>10</v>
      </c>
      <c r="AS67" s="30">
        <v>50</v>
      </c>
      <c r="AU67">
        <v>17</v>
      </c>
      <c r="AW67" s="30">
        <v>34</v>
      </c>
      <c r="AY67" s="30">
        <v>34</v>
      </c>
      <c r="BA67" s="30">
        <v>10</v>
      </c>
      <c r="BC67" s="30">
        <v>0</v>
      </c>
      <c r="BE67" s="30">
        <v>1</v>
      </c>
      <c r="BG67" s="30">
        <v>22</v>
      </c>
      <c r="BI67" s="30">
        <v>21</v>
      </c>
      <c r="BK67" s="30">
        <v>51</v>
      </c>
      <c r="BM67" s="769">
        <v>68</v>
      </c>
      <c r="BO67" s="30">
        <v>42</v>
      </c>
      <c r="BQ67" s="30">
        <v>1</v>
      </c>
      <c r="BS67" s="30">
        <v>94</v>
      </c>
      <c r="BU67" s="30">
        <v>25</v>
      </c>
      <c r="BW67" s="30">
        <v>18</v>
      </c>
      <c r="CC67" s="30">
        <v>19</v>
      </c>
    </row>
    <row r="68" spans="2:81" x14ac:dyDescent="0.2">
      <c r="B68" s="30">
        <v>15</v>
      </c>
      <c r="D68" s="30">
        <v>67</v>
      </c>
      <c r="F68" s="30">
        <v>80</v>
      </c>
      <c r="G68" s="34"/>
      <c r="H68" s="30">
        <v>80</v>
      </c>
      <c r="J68" s="30">
        <v>27</v>
      </c>
      <c r="L68" s="30">
        <v>44</v>
      </c>
      <c r="N68" s="30">
        <v>59</v>
      </c>
      <c r="P68" s="30">
        <v>23</v>
      </c>
      <c r="R68" s="30">
        <v>87</v>
      </c>
      <c r="T68" s="30">
        <v>8</v>
      </c>
      <c r="V68" s="30">
        <v>7</v>
      </c>
      <c r="X68" s="30">
        <v>58</v>
      </c>
      <c r="AA68" s="30">
        <v>30</v>
      </c>
      <c r="AC68" s="30">
        <v>55</v>
      </c>
      <c r="AE68" s="30">
        <v>13</v>
      </c>
      <c r="AG68" s="30">
        <v>3</v>
      </c>
      <c r="AI68" s="30">
        <v>13</v>
      </c>
      <c r="AK68" s="30">
        <v>71</v>
      </c>
      <c r="AM68" s="30">
        <v>62</v>
      </c>
      <c r="AO68" s="30">
        <v>97</v>
      </c>
      <c r="AQ68" s="495">
        <v>65</v>
      </c>
      <c r="AS68" s="30">
        <v>3</v>
      </c>
      <c r="AU68">
        <v>99</v>
      </c>
      <c r="AW68" s="30">
        <v>20</v>
      </c>
      <c r="AY68" s="30">
        <v>20</v>
      </c>
      <c r="BA68" s="30">
        <v>11</v>
      </c>
      <c r="BC68" s="30">
        <v>86</v>
      </c>
      <c r="BE68" s="30">
        <v>22</v>
      </c>
      <c r="BG68" s="30">
        <v>11</v>
      </c>
      <c r="BI68" s="30">
        <v>20</v>
      </c>
      <c r="BK68" s="30">
        <v>30</v>
      </c>
      <c r="BM68" s="769">
        <v>74</v>
      </c>
      <c r="BO68" s="30">
        <v>81</v>
      </c>
      <c r="BQ68" s="30">
        <v>26</v>
      </c>
      <c r="BS68" s="30">
        <v>54</v>
      </c>
      <c r="BU68" s="30">
        <v>61</v>
      </c>
      <c r="BW68" s="30">
        <v>19</v>
      </c>
      <c r="CC68" s="30">
        <v>2</v>
      </c>
    </row>
    <row r="69" spans="2:81" x14ac:dyDescent="0.2">
      <c r="B69" s="30">
        <v>11</v>
      </c>
      <c r="D69" s="30">
        <v>66</v>
      </c>
      <c r="F69" s="30">
        <v>59</v>
      </c>
      <c r="G69" s="34"/>
      <c r="H69" s="30">
        <v>16</v>
      </c>
      <c r="J69" s="30">
        <v>18</v>
      </c>
      <c r="L69" s="30">
        <v>61</v>
      </c>
      <c r="N69" s="30">
        <v>26</v>
      </c>
      <c r="P69" s="30">
        <v>23</v>
      </c>
      <c r="R69" s="30">
        <v>71</v>
      </c>
      <c r="T69" s="30">
        <v>59</v>
      </c>
      <c r="V69" s="30">
        <v>71</v>
      </c>
      <c r="X69" s="30">
        <v>76</v>
      </c>
      <c r="AA69" s="30">
        <v>58</v>
      </c>
      <c r="AC69" s="30">
        <v>26</v>
      </c>
      <c r="AE69" s="30">
        <v>18</v>
      </c>
      <c r="AG69" s="30">
        <v>63</v>
      </c>
      <c r="AI69" s="30">
        <v>38</v>
      </c>
      <c r="AK69" s="30">
        <v>7</v>
      </c>
      <c r="AM69" s="30">
        <v>4</v>
      </c>
      <c r="AO69" s="30">
        <v>95</v>
      </c>
      <c r="AQ69" s="495">
        <v>67</v>
      </c>
      <c r="AS69" s="30">
        <v>91</v>
      </c>
      <c r="AU69">
        <v>49</v>
      </c>
      <c r="AW69" s="30">
        <v>9</v>
      </c>
      <c r="AY69" s="30">
        <v>9</v>
      </c>
      <c r="BA69" s="30">
        <v>10</v>
      </c>
      <c r="BC69" s="30">
        <v>36</v>
      </c>
      <c r="BE69" s="30">
        <v>31</v>
      </c>
      <c r="BG69" s="30">
        <v>94</v>
      </c>
      <c r="BI69" s="30">
        <v>90</v>
      </c>
      <c r="BK69" s="30">
        <v>77</v>
      </c>
      <c r="BM69" s="769">
        <v>3</v>
      </c>
      <c r="BO69" s="30">
        <v>10</v>
      </c>
      <c r="BQ69" s="30">
        <v>52</v>
      </c>
      <c r="BS69" s="30">
        <v>5</v>
      </c>
      <c r="BU69" s="30">
        <v>80</v>
      </c>
      <c r="BW69" s="30">
        <v>41</v>
      </c>
      <c r="CC69" s="30">
        <v>15</v>
      </c>
    </row>
    <row r="70" spans="2:81" x14ac:dyDescent="0.2">
      <c r="B70" s="30">
        <v>80</v>
      </c>
      <c r="D70" s="30">
        <v>54</v>
      </c>
      <c r="F70" s="30">
        <v>45</v>
      </c>
      <c r="G70" s="34"/>
      <c r="H70" s="30">
        <v>21</v>
      </c>
      <c r="J70" s="30">
        <v>17</v>
      </c>
      <c r="L70" s="30">
        <v>42</v>
      </c>
      <c r="N70" s="30">
        <v>9</v>
      </c>
      <c r="P70" s="30">
        <v>23</v>
      </c>
      <c r="R70" s="30">
        <v>19</v>
      </c>
      <c r="T70" s="30">
        <v>32</v>
      </c>
      <c r="V70" s="30">
        <v>24</v>
      </c>
      <c r="X70" s="30">
        <v>71</v>
      </c>
      <c r="AA70" s="30">
        <v>76</v>
      </c>
      <c r="AC70" s="30">
        <v>69</v>
      </c>
      <c r="AE70" s="30">
        <v>76</v>
      </c>
      <c r="AG70" s="30">
        <v>69</v>
      </c>
      <c r="AI70" s="30">
        <v>12</v>
      </c>
      <c r="AK70" s="30">
        <v>59</v>
      </c>
      <c r="AM70" s="30">
        <v>66</v>
      </c>
      <c r="AO70" s="30">
        <v>98</v>
      </c>
      <c r="AQ70" s="495">
        <v>4</v>
      </c>
      <c r="AS70" s="30">
        <v>0</v>
      </c>
      <c r="AU70">
        <v>20</v>
      </c>
      <c r="AW70" s="30">
        <v>13</v>
      </c>
      <c r="AY70" s="30">
        <v>13</v>
      </c>
      <c r="BA70" s="30">
        <v>2</v>
      </c>
      <c r="BC70" s="30">
        <v>55</v>
      </c>
      <c r="BE70" s="30">
        <v>23</v>
      </c>
      <c r="BG70" s="30">
        <v>88</v>
      </c>
      <c r="BI70" s="30">
        <v>40</v>
      </c>
      <c r="BK70" s="30">
        <v>11</v>
      </c>
      <c r="BM70" s="769">
        <v>57</v>
      </c>
      <c r="BO70" s="30">
        <v>5</v>
      </c>
      <c r="BQ70" s="30">
        <v>70</v>
      </c>
      <c r="BS70" s="30">
        <v>41</v>
      </c>
      <c r="BU70" s="30">
        <v>26</v>
      </c>
      <c r="BW70" s="30">
        <v>82</v>
      </c>
      <c r="CC70" s="30">
        <v>93</v>
      </c>
    </row>
    <row r="71" spans="2:81" x14ac:dyDescent="0.2">
      <c r="B71" s="30">
        <v>38</v>
      </c>
      <c r="D71" s="30">
        <v>89</v>
      </c>
      <c r="F71" s="30">
        <v>48</v>
      </c>
      <c r="G71" s="34"/>
      <c r="H71" s="30">
        <v>51</v>
      </c>
      <c r="J71" s="30">
        <v>12</v>
      </c>
      <c r="L71" s="30">
        <v>20</v>
      </c>
      <c r="N71" s="30">
        <v>27</v>
      </c>
      <c r="P71" s="30">
        <v>23</v>
      </c>
      <c r="R71" s="30">
        <v>37</v>
      </c>
      <c r="T71" s="30">
        <v>14</v>
      </c>
      <c r="V71" s="30">
        <v>54</v>
      </c>
      <c r="X71" s="30">
        <v>100</v>
      </c>
      <c r="AA71" s="30">
        <v>71</v>
      </c>
      <c r="AC71" s="30">
        <v>66</v>
      </c>
      <c r="AE71" s="30">
        <v>66</v>
      </c>
      <c r="AG71" s="30">
        <v>7</v>
      </c>
      <c r="AI71" s="30">
        <v>20</v>
      </c>
      <c r="AK71" s="30">
        <v>12</v>
      </c>
      <c r="AM71" s="30">
        <v>10</v>
      </c>
      <c r="AO71" s="30">
        <v>3</v>
      </c>
      <c r="AQ71" s="495">
        <v>45</v>
      </c>
      <c r="AS71" s="30">
        <v>0</v>
      </c>
      <c r="AU71">
        <v>89</v>
      </c>
      <c r="AW71" s="30">
        <v>3</v>
      </c>
      <c r="AY71" s="30">
        <v>3</v>
      </c>
      <c r="BA71" s="30">
        <v>24</v>
      </c>
      <c r="BC71" s="30">
        <v>13</v>
      </c>
      <c r="BE71" s="30">
        <v>17</v>
      </c>
      <c r="BG71" s="30">
        <v>53</v>
      </c>
      <c r="BI71" s="30">
        <v>66</v>
      </c>
      <c r="BK71" s="30">
        <v>16</v>
      </c>
      <c r="BM71" s="769">
        <v>62</v>
      </c>
      <c r="BO71" s="30">
        <v>41</v>
      </c>
      <c r="BQ71" s="30">
        <v>10</v>
      </c>
      <c r="BS71" s="30">
        <v>78</v>
      </c>
      <c r="BU71" s="30">
        <v>65</v>
      </c>
      <c r="BW71" s="30">
        <v>55</v>
      </c>
      <c r="CC71" s="30">
        <v>58</v>
      </c>
    </row>
    <row r="72" spans="2:81" x14ac:dyDescent="0.2">
      <c r="B72" s="30">
        <v>31</v>
      </c>
      <c r="D72" s="30">
        <v>7</v>
      </c>
      <c r="F72" s="30">
        <v>20</v>
      </c>
      <c r="G72" s="34"/>
      <c r="H72" s="30">
        <v>17</v>
      </c>
      <c r="J72" s="30">
        <v>1</v>
      </c>
      <c r="L72" s="30">
        <v>37</v>
      </c>
      <c r="N72" s="30">
        <v>49</v>
      </c>
      <c r="P72" s="30">
        <v>23</v>
      </c>
      <c r="R72" s="30">
        <v>54</v>
      </c>
      <c r="T72" s="30">
        <v>18</v>
      </c>
      <c r="V72" s="30">
        <v>49</v>
      </c>
      <c r="X72" s="30">
        <v>19</v>
      </c>
      <c r="AA72" s="30">
        <v>100</v>
      </c>
      <c r="AC72" s="30">
        <v>19</v>
      </c>
      <c r="AE72" s="30">
        <v>43</v>
      </c>
      <c r="AG72" s="30">
        <v>48</v>
      </c>
      <c r="AI72" s="30">
        <v>22</v>
      </c>
      <c r="AK72" s="30">
        <v>46</v>
      </c>
      <c r="AM72" s="30">
        <v>31</v>
      </c>
      <c r="AO72" s="30">
        <v>95</v>
      </c>
      <c r="AQ72" s="495">
        <v>11</v>
      </c>
      <c r="AS72" s="30">
        <v>68</v>
      </c>
      <c r="AU72">
        <v>44</v>
      </c>
      <c r="AW72" s="30">
        <v>49</v>
      </c>
      <c r="AY72" s="30">
        <v>49</v>
      </c>
      <c r="BA72" s="30">
        <v>5</v>
      </c>
      <c r="BC72" s="30">
        <v>66</v>
      </c>
      <c r="BE72" s="30">
        <v>53</v>
      </c>
      <c r="BG72" s="30">
        <v>12</v>
      </c>
      <c r="BI72" s="30">
        <v>75</v>
      </c>
      <c r="BK72" s="30">
        <v>53</v>
      </c>
      <c r="BM72" s="769">
        <v>57</v>
      </c>
      <c r="BO72" s="30">
        <v>43</v>
      </c>
      <c r="BQ72" s="30">
        <v>55</v>
      </c>
      <c r="BS72" s="30">
        <v>90</v>
      </c>
      <c r="BU72" s="30">
        <v>50</v>
      </c>
      <c r="BW72" s="30">
        <v>4</v>
      </c>
      <c r="CC72" s="30">
        <v>7</v>
      </c>
    </row>
    <row r="73" spans="2:81" x14ac:dyDescent="0.2">
      <c r="B73" s="30">
        <v>47</v>
      </c>
      <c r="D73" s="30">
        <v>81</v>
      </c>
      <c r="F73" s="30">
        <v>19</v>
      </c>
      <c r="G73" s="34"/>
      <c r="H73" s="30">
        <v>48</v>
      </c>
      <c r="J73" s="59"/>
      <c r="L73" s="30">
        <v>78</v>
      </c>
      <c r="N73" s="30">
        <v>39</v>
      </c>
      <c r="P73" s="30">
        <v>24</v>
      </c>
      <c r="R73" s="30">
        <v>23</v>
      </c>
      <c r="T73" s="30">
        <v>44</v>
      </c>
      <c r="V73" s="30">
        <v>35</v>
      </c>
      <c r="X73" s="30">
        <v>28</v>
      </c>
      <c r="AA73" s="30">
        <v>19</v>
      </c>
      <c r="AC73" s="30">
        <v>30</v>
      </c>
      <c r="AE73" s="30">
        <v>21</v>
      </c>
      <c r="AG73" s="30">
        <v>12</v>
      </c>
      <c r="AI73" s="30">
        <v>69</v>
      </c>
      <c r="AK73" s="30">
        <v>24</v>
      </c>
      <c r="AM73" s="30">
        <v>19</v>
      </c>
      <c r="AO73" s="30">
        <v>9</v>
      </c>
      <c r="AQ73" s="495">
        <v>36</v>
      </c>
      <c r="AS73" s="30">
        <v>46</v>
      </c>
      <c r="AU73">
        <v>65</v>
      </c>
      <c r="AW73" s="30">
        <v>34</v>
      </c>
      <c r="AY73" s="30">
        <v>34</v>
      </c>
      <c r="BA73" s="30">
        <v>23</v>
      </c>
      <c r="BC73" s="30">
        <v>25</v>
      </c>
      <c r="BE73" s="30">
        <v>79</v>
      </c>
      <c r="BG73" s="30">
        <v>12</v>
      </c>
      <c r="BI73" s="30">
        <v>26</v>
      </c>
      <c r="BK73" s="30">
        <v>93</v>
      </c>
      <c r="BM73" s="769">
        <v>45</v>
      </c>
      <c r="BO73" s="30">
        <v>17</v>
      </c>
      <c r="BQ73" s="30">
        <v>60</v>
      </c>
      <c r="BS73" s="30">
        <v>63</v>
      </c>
      <c r="BU73" s="30">
        <v>34</v>
      </c>
      <c r="BW73" s="30">
        <v>69</v>
      </c>
      <c r="CC73" s="30">
        <v>47</v>
      </c>
    </row>
    <row r="74" spans="2:81" x14ac:dyDescent="0.2">
      <c r="B74" s="30">
        <v>26</v>
      </c>
      <c r="D74" s="30">
        <v>82</v>
      </c>
      <c r="F74" s="30">
        <v>0</v>
      </c>
      <c r="G74" s="34"/>
      <c r="H74" s="30">
        <v>15</v>
      </c>
      <c r="J74" s="30">
        <v>46</v>
      </c>
      <c r="L74" s="30">
        <v>66</v>
      </c>
      <c r="N74" s="30">
        <v>42</v>
      </c>
      <c r="P74" s="30">
        <v>25</v>
      </c>
      <c r="R74" s="30">
        <v>10</v>
      </c>
      <c r="T74" s="30">
        <v>25</v>
      </c>
      <c r="V74" s="30">
        <v>66</v>
      </c>
      <c r="X74" s="30">
        <v>45</v>
      </c>
      <c r="AA74" s="30">
        <v>28</v>
      </c>
      <c r="AC74" s="30">
        <v>32</v>
      </c>
      <c r="AE74" s="30">
        <v>70</v>
      </c>
      <c r="AG74" s="30">
        <v>27</v>
      </c>
      <c r="AI74" s="30">
        <v>91</v>
      </c>
      <c r="AK74" s="30">
        <v>16</v>
      </c>
      <c r="AM74" s="30">
        <v>16</v>
      </c>
      <c r="AO74" s="30">
        <v>51</v>
      </c>
      <c r="AQ74" s="495">
        <v>23</v>
      </c>
      <c r="AS74" s="30">
        <v>17</v>
      </c>
      <c r="AU74">
        <v>75</v>
      </c>
      <c r="AW74" s="30">
        <v>19</v>
      </c>
      <c r="AY74" s="30">
        <v>19</v>
      </c>
      <c r="BA74" s="30">
        <v>43</v>
      </c>
      <c r="BC74" s="30">
        <v>40</v>
      </c>
      <c r="BE74" s="30">
        <v>82</v>
      </c>
      <c r="BG74" s="30">
        <v>16</v>
      </c>
      <c r="BI74" s="30">
        <v>22</v>
      </c>
      <c r="BK74" s="30">
        <v>98</v>
      </c>
      <c r="BM74" s="769">
        <v>24</v>
      </c>
      <c r="BO74" s="30">
        <v>42</v>
      </c>
      <c r="BQ74" s="30">
        <v>82</v>
      </c>
      <c r="BS74" s="30">
        <v>67</v>
      </c>
      <c r="BU74" s="30">
        <v>2</v>
      </c>
      <c r="BW74" s="30">
        <v>42</v>
      </c>
      <c r="CC74" s="30">
        <v>80</v>
      </c>
    </row>
    <row r="75" spans="2:81" x14ac:dyDescent="0.2">
      <c r="B75" s="30">
        <v>55</v>
      </c>
      <c r="D75" s="30">
        <v>2</v>
      </c>
      <c r="F75" s="30">
        <v>8</v>
      </c>
      <c r="G75" s="34"/>
      <c r="H75" s="30">
        <v>70</v>
      </c>
      <c r="J75" s="30">
        <v>34</v>
      </c>
      <c r="L75" s="30">
        <v>59</v>
      </c>
      <c r="N75" s="30">
        <v>97</v>
      </c>
      <c r="P75" s="30">
        <v>25</v>
      </c>
      <c r="R75" s="30">
        <v>29</v>
      </c>
      <c r="T75" s="30">
        <v>12</v>
      </c>
      <c r="V75" s="30">
        <v>39</v>
      </c>
      <c r="X75" s="30">
        <v>72</v>
      </c>
      <c r="AA75" s="30">
        <v>45</v>
      </c>
      <c r="AC75" s="30">
        <v>83</v>
      </c>
      <c r="AE75" s="30">
        <v>74</v>
      </c>
      <c r="AG75" s="30">
        <v>53</v>
      </c>
      <c r="AI75" s="30">
        <v>12</v>
      </c>
      <c r="AK75" s="30">
        <v>18</v>
      </c>
      <c r="AM75" s="30">
        <v>21</v>
      </c>
      <c r="AO75" s="30">
        <v>61</v>
      </c>
      <c r="AQ75" s="495">
        <v>17</v>
      </c>
      <c r="AS75" s="30">
        <v>56</v>
      </c>
      <c r="AU75">
        <v>26</v>
      </c>
      <c r="AW75" s="30">
        <v>6</v>
      </c>
      <c r="AY75" s="30">
        <v>6</v>
      </c>
      <c r="BA75" s="30">
        <v>74</v>
      </c>
      <c r="BC75" s="30">
        <v>74</v>
      </c>
      <c r="BE75" s="30">
        <v>44</v>
      </c>
      <c r="BG75" s="30">
        <v>79</v>
      </c>
      <c r="BI75" s="30">
        <v>53</v>
      </c>
      <c r="BK75" s="30">
        <v>78</v>
      </c>
      <c r="BM75" s="769">
        <v>31</v>
      </c>
      <c r="BO75" s="30">
        <v>54</v>
      </c>
      <c r="BQ75" s="30">
        <v>61</v>
      </c>
      <c r="BS75" s="30">
        <v>24</v>
      </c>
      <c r="BU75" s="30">
        <v>88</v>
      </c>
      <c r="BW75" s="30">
        <v>34</v>
      </c>
      <c r="CC75" s="30">
        <v>38</v>
      </c>
    </row>
    <row r="76" spans="2:81" x14ac:dyDescent="0.2">
      <c r="B76" s="30">
        <v>14</v>
      </c>
      <c r="D76" s="30">
        <v>93</v>
      </c>
      <c r="F76" s="30">
        <v>10</v>
      </c>
      <c r="G76" s="34"/>
      <c r="H76" s="30">
        <v>30</v>
      </c>
      <c r="J76" s="30">
        <v>79</v>
      </c>
      <c r="L76" s="30">
        <v>82</v>
      </c>
      <c r="N76" s="30">
        <v>46</v>
      </c>
      <c r="P76" s="30">
        <v>25</v>
      </c>
      <c r="R76" s="30">
        <v>42</v>
      </c>
      <c r="T76" s="30">
        <v>30</v>
      </c>
      <c r="V76" s="30">
        <v>33</v>
      </c>
      <c r="X76" s="30">
        <v>16</v>
      </c>
      <c r="AA76" s="30">
        <v>72</v>
      </c>
      <c r="AC76" s="30">
        <v>16</v>
      </c>
      <c r="AE76" s="30">
        <v>29</v>
      </c>
      <c r="AG76" s="30">
        <v>11</v>
      </c>
      <c r="AI76" s="30">
        <v>54</v>
      </c>
      <c r="AK76" s="30">
        <v>51</v>
      </c>
      <c r="AM76" s="30">
        <v>32</v>
      </c>
      <c r="AO76" s="30">
        <v>58</v>
      </c>
      <c r="AQ76" s="495">
        <v>23</v>
      </c>
      <c r="AS76" s="30">
        <v>13</v>
      </c>
      <c r="AU76">
        <v>97</v>
      </c>
      <c r="AW76" s="30">
        <v>2</v>
      </c>
      <c r="AY76" s="30">
        <v>2</v>
      </c>
      <c r="BA76" s="30">
        <v>30</v>
      </c>
      <c r="BC76" s="30">
        <v>95</v>
      </c>
      <c r="BE76" s="30">
        <v>18</v>
      </c>
      <c r="BG76" s="30">
        <v>100</v>
      </c>
      <c r="BI76" s="30">
        <v>18</v>
      </c>
      <c r="BK76" s="30">
        <v>87</v>
      </c>
      <c r="BM76" s="769">
        <v>0</v>
      </c>
      <c r="BO76" s="30">
        <v>63</v>
      </c>
      <c r="BQ76" s="30">
        <v>33</v>
      </c>
      <c r="BS76" s="30">
        <v>32</v>
      </c>
      <c r="BU76" s="30">
        <v>33</v>
      </c>
      <c r="BW76" s="30">
        <v>27</v>
      </c>
      <c r="CC76" s="30">
        <v>58</v>
      </c>
    </row>
    <row r="77" spans="2:81" x14ac:dyDescent="0.2">
      <c r="B77" s="30">
        <v>50</v>
      </c>
      <c r="D77" s="30">
        <v>14</v>
      </c>
      <c r="F77" s="30">
        <v>49</v>
      </c>
      <c r="G77" s="34"/>
      <c r="H77" s="30">
        <v>37</v>
      </c>
      <c r="J77" s="30">
        <v>13</v>
      </c>
      <c r="L77" s="30">
        <v>44</v>
      </c>
      <c r="N77" s="30">
        <v>32</v>
      </c>
      <c r="P77" s="30">
        <v>25</v>
      </c>
      <c r="R77" s="30">
        <v>44</v>
      </c>
      <c r="T77" s="30">
        <v>37</v>
      </c>
      <c r="V77" s="30">
        <v>46</v>
      </c>
      <c r="X77" s="30">
        <v>21</v>
      </c>
      <c r="AA77" s="30">
        <v>16</v>
      </c>
      <c r="AC77" s="30">
        <v>8</v>
      </c>
      <c r="AE77" s="30">
        <v>78</v>
      </c>
      <c r="AG77" s="30">
        <v>20</v>
      </c>
      <c r="AI77" s="30">
        <v>42</v>
      </c>
      <c r="AK77" s="30">
        <v>78</v>
      </c>
      <c r="AM77" s="30">
        <v>65</v>
      </c>
      <c r="AO77" s="30">
        <v>16</v>
      </c>
      <c r="AQ77" s="495">
        <v>33</v>
      </c>
      <c r="AS77" s="30">
        <v>58</v>
      </c>
      <c r="AU77">
        <v>60</v>
      </c>
      <c r="AW77" s="30">
        <v>0</v>
      </c>
      <c r="AY77" s="30">
        <v>0</v>
      </c>
      <c r="BA77" s="30">
        <v>8</v>
      </c>
      <c r="BC77" s="30">
        <v>55</v>
      </c>
      <c r="BE77" s="30">
        <v>80</v>
      </c>
      <c r="BG77" s="30">
        <v>10</v>
      </c>
      <c r="BI77" s="30">
        <v>74</v>
      </c>
      <c r="BK77" s="30">
        <v>14</v>
      </c>
      <c r="BM77" s="769">
        <v>41</v>
      </c>
      <c r="BO77" s="30">
        <v>79</v>
      </c>
      <c r="BQ77" s="30">
        <v>62</v>
      </c>
      <c r="BS77" s="30">
        <v>54</v>
      </c>
      <c r="BU77" s="30">
        <v>2</v>
      </c>
      <c r="BW77" s="30">
        <v>65</v>
      </c>
      <c r="CC77" s="30">
        <v>45</v>
      </c>
    </row>
    <row r="78" spans="2:81" x14ac:dyDescent="0.2">
      <c r="B78" s="30">
        <v>40</v>
      </c>
      <c r="D78" s="30">
        <v>8</v>
      </c>
      <c r="F78" s="30">
        <v>28</v>
      </c>
      <c r="G78" s="34"/>
      <c r="H78" s="30">
        <v>28</v>
      </c>
      <c r="J78" s="30">
        <v>26</v>
      </c>
      <c r="L78" s="30">
        <v>37</v>
      </c>
      <c r="N78" s="30">
        <v>35</v>
      </c>
      <c r="P78" s="30">
        <v>25</v>
      </c>
      <c r="R78" s="30">
        <v>71</v>
      </c>
      <c r="T78" s="30">
        <v>13</v>
      </c>
      <c r="V78" s="30">
        <v>83</v>
      </c>
      <c r="X78" s="30">
        <v>7</v>
      </c>
      <c r="AA78" s="30">
        <v>21</v>
      </c>
      <c r="AC78" s="30">
        <v>48</v>
      </c>
      <c r="AE78" s="30">
        <v>33</v>
      </c>
      <c r="AG78" s="30">
        <v>53</v>
      </c>
      <c r="AI78" s="30">
        <v>86</v>
      </c>
      <c r="AK78" s="30">
        <v>66</v>
      </c>
      <c r="AM78" s="30">
        <v>51</v>
      </c>
      <c r="AO78" s="30">
        <v>58</v>
      </c>
      <c r="AQ78" s="495">
        <v>61</v>
      </c>
      <c r="AS78" s="30">
        <v>99</v>
      </c>
      <c r="AU78">
        <v>63</v>
      </c>
      <c r="AW78" s="30">
        <v>19</v>
      </c>
      <c r="AY78" s="30">
        <v>19</v>
      </c>
      <c r="BA78" s="30">
        <v>13</v>
      </c>
      <c r="BC78" s="30">
        <v>7</v>
      </c>
      <c r="BE78" s="30">
        <v>57</v>
      </c>
      <c r="BG78" s="30">
        <v>17</v>
      </c>
      <c r="BI78" s="30">
        <v>6</v>
      </c>
      <c r="BK78" s="30">
        <v>37</v>
      </c>
      <c r="BM78" s="769">
        <v>25</v>
      </c>
      <c r="BO78" s="30">
        <v>54</v>
      </c>
      <c r="BQ78" s="30">
        <v>63</v>
      </c>
      <c r="BS78" s="30">
        <v>90</v>
      </c>
      <c r="BU78" s="30">
        <v>61</v>
      </c>
      <c r="BW78" s="30">
        <v>52</v>
      </c>
      <c r="CC78" s="30">
        <v>98</v>
      </c>
    </row>
    <row r="79" spans="2:81" x14ac:dyDescent="0.2">
      <c r="B79" s="30">
        <v>65</v>
      </c>
      <c r="D79" s="30">
        <v>28</v>
      </c>
      <c r="F79" s="30">
        <v>26</v>
      </c>
      <c r="G79" s="34"/>
      <c r="H79" s="30">
        <v>29</v>
      </c>
      <c r="J79" s="30">
        <v>11</v>
      </c>
      <c r="L79" s="30">
        <v>61</v>
      </c>
      <c r="N79" s="30">
        <v>35</v>
      </c>
      <c r="P79" s="30">
        <v>26</v>
      </c>
      <c r="R79" s="30">
        <v>44</v>
      </c>
      <c r="T79" s="30">
        <v>76</v>
      </c>
      <c r="V79" s="30">
        <v>39</v>
      </c>
      <c r="X79" s="30">
        <v>67</v>
      </c>
      <c r="AA79" s="30">
        <v>7</v>
      </c>
      <c r="AC79" s="30">
        <v>24</v>
      </c>
      <c r="AE79" s="30">
        <v>75</v>
      </c>
      <c r="AG79" s="30">
        <v>66</v>
      </c>
      <c r="AI79" s="30">
        <v>72</v>
      </c>
      <c r="AK79" s="30">
        <v>12</v>
      </c>
      <c r="AM79" s="30">
        <v>7</v>
      </c>
      <c r="AO79" s="30">
        <v>51</v>
      </c>
      <c r="AQ79" s="495">
        <v>65</v>
      </c>
      <c r="AS79" s="30">
        <v>54</v>
      </c>
      <c r="AU79">
        <v>13</v>
      </c>
      <c r="AW79" s="30">
        <v>18</v>
      </c>
      <c r="AY79" s="30">
        <v>18</v>
      </c>
      <c r="BA79" s="30">
        <v>9</v>
      </c>
      <c r="BC79" s="30">
        <v>24</v>
      </c>
      <c r="BE79" s="30">
        <v>22</v>
      </c>
      <c r="BG79" s="30">
        <v>39</v>
      </c>
      <c r="BI79" s="30">
        <v>10</v>
      </c>
      <c r="BK79" s="30">
        <v>13</v>
      </c>
      <c r="BM79" s="769">
        <v>54</v>
      </c>
      <c r="BO79" s="30">
        <v>63</v>
      </c>
      <c r="BQ79" s="30">
        <v>17</v>
      </c>
      <c r="BS79" s="30">
        <v>14</v>
      </c>
      <c r="BU79" s="30">
        <v>57</v>
      </c>
      <c r="BW79" s="30">
        <v>34</v>
      </c>
      <c r="CC79" s="30">
        <v>2</v>
      </c>
    </row>
    <row r="80" spans="2:81" x14ac:dyDescent="0.2">
      <c r="B80" s="30">
        <v>37</v>
      </c>
      <c r="D80" s="30">
        <v>63</v>
      </c>
      <c r="F80" s="30">
        <v>50</v>
      </c>
      <c r="G80" s="34"/>
      <c r="H80" s="30">
        <v>22</v>
      </c>
      <c r="J80" s="30">
        <v>34</v>
      </c>
      <c r="L80" s="30">
        <v>75</v>
      </c>
      <c r="N80" s="30">
        <v>85</v>
      </c>
      <c r="P80" s="30">
        <v>26</v>
      </c>
      <c r="R80" s="30">
        <v>28</v>
      </c>
      <c r="T80" s="30">
        <v>51</v>
      </c>
      <c r="V80" s="30">
        <v>74</v>
      </c>
      <c r="X80" s="30">
        <v>19</v>
      </c>
      <c r="AA80" s="30">
        <v>67</v>
      </c>
      <c r="AC80" s="30">
        <v>44</v>
      </c>
      <c r="AE80" s="30">
        <v>57</v>
      </c>
      <c r="AG80" s="30">
        <v>39</v>
      </c>
      <c r="AI80" s="30">
        <v>74</v>
      </c>
      <c r="AK80" s="30">
        <v>53</v>
      </c>
      <c r="AM80" s="30">
        <v>45</v>
      </c>
      <c r="AO80" s="30">
        <v>6</v>
      </c>
      <c r="AQ80" s="495">
        <v>8</v>
      </c>
      <c r="AS80" s="30">
        <v>14</v>
      </c>
      <c r="AU80">
        <v>14</v>
      </c>
      <c r="AW80" s="30">
        <v>4</v>
      </c>
      <c r="AY80" s="30">
        <v>4</v>
      </c>
      <c r="BA80" s="30">
        <v>3</v>
      </c>
      <c r="BC80" s="30">
        <v>57</v>
      </c>
      <c r="BE80" s="30">
        <v>78</v>
      </c>
      <c r="BG80" s="30">
        <v>42</v>
      </c>
      <c r="BI80" s="30">
        <v>34</v>
      </c>
      <c r="BK80" s="30">
        <v>8</v>
      </c>
      <c r="BM80" s="769">
        <v>50</v>
      </c>
      <c r="BO80" s="30">
        <v>23</v>
      </c>
      <c r="BQ80" s="30">
        <v>9</v>
      </c>
      <c r="BS80" s="30">
        <v>1</v>
      </c>
      <c r="BU80" s="30">
        <v>7</v>
      </c>
      <c r="BW80" s="30">
        <v>7</v>
      </c>
      <c r="CC80" s="30">
        <v>91</v>
      </c>
    </row>
    <row r="81" spans="2:81" x14ac:dyDescent="0.2">
      <c r="B81" s="30">
        <v>38</v>
      </c>
      <c r="D81" s="30">
        <v>96</v>
      </c>
      <c r="F81" s="30">
        <v>21</v>
      </c>
      <c r="G81" s="34"/>
      <c r="H81" s="30">
        <v>24</v>
      </c>
      <c r="J81" s="30">
        <v>48</v>
      </c>
      <c r="L81" s="30">
        <v>25</v>
      </c>
      <c r="N81" s="30">
        <v>70</v>
      </c>
      <c r="P81" s="30">
        <v>26</v>
      </c>
      <c r="R81" s="30">
        <v>34</v>
      </c>
      <c r="T81" s="30">
        <v>26</v>
      </c>
      <c r="V81" s="30">
        <v>64</v>
      </c>
      <c r="X81" s="30">
        <v>58</v>
      </c>
      <c r="AA81" s="30">
        <v>19</v>
      </c>
      <c r="AC81" s="30">
        <v>42</v>
      </c>
      <c r="AE81" s="30">
        <v>78</v>
      </c>
      <c r="AG81" s="30">
        <v>8</v>
      </c>
      <c r="AI81" s="30">
        <v>37</v>
      </c>
      <c r="AK81" s="30">
        <v>36</v>
      </c>
      <c r="AM81" s="30">
        <v>31</v>
      </c>
      <c r="AO81" s="30">
        <v>55</v>
      </c>
      <c r="AQ81" s="495">
        <v>41</v>
      </c>
      <c r="AS81" s="30">
        <v>27</v>
      </c>
      <c r="AU81">
        <v>79</v>
      </c>
      <c r="AW81" s="30">
        <v>6</v>
      </c>
      <c r="AY81" s="30">
        <v>6</v>
      </c>
      <c r="BA81" s="30">
        <v>1</v>
      </c>
      <c r="BC81" s="30">
        <v>7</v>
      </c>
      <c r="BE81" s="30">
        <v>64</v>
      </c>
      <c r="BG81" s="30">
        <v>43</v>
      </c>
      <c r="BI81" s="30">
        <v>38</v>
      </c>
      <c r="BK81" s="30">
        <v>33</v>
      </c>
      <c r="BM81" s="769">
        <v>97</v>
      </c>
      <c r="BO81" s="30">
        <v>81</v>
      </c>
      <c r="BQ81" s="30">
        <v>47</v>
      </c>
      <c r="BS81" s="30">
        <v>7</v>
      </c>
      <c r="BU81" s="30">
        <v>38</v>
      </c>
      <c r="BW81" s="30">
        <v>32</v>
      </c>
      <c r="CC81" s="30">
        <v>34</v>
      </c>
    </row>
    <row r="82" spans="2:81" x14ac:dyDescent="0.2">
      <c r="B82" s="30">
        <v>17</v>
      </c>
      <c r="D82" s="30">
        <v>8</v>
      </c>
      <c r="F82" s="30">
        <v>51</v>
      </c>
      <c r="G82" s="34"/>
      <c r="H82" s="30">
        <v>9</v>
      </c>
      <c r="J82" s="30">
        <v>18</v>
      </c>
      <c r="L82" s="30">
        <v>80</v>
      </c>
      <c r="N82" s="30">
        <v>100</v>
      </c>
      <c r="P82" s="30">
        <v>26</v>
      </c>
      <c r="R82" s="30">
        <v>35</v>
      </c>
      <c r="T82" s="30">
        <v>57</v>
      </c>
      <c r="V82" s="30">
        <v>28</v>
      </c>
      <c r="X82" s="30">
        <v>60</v>
      </c>
      <c r="AA82" s="30">
        <v>58</v>
      </c>
      <c r="AC82" s="30">
        <v>19</v>
      </c>
      <c r="AE82" s="30">
        <v>96</v>
      </c>
      <c r="AG82" s="30">
        <v>50</v>
      </c>
      <c r="AI82" s="30">
        <v>14</v>
      </c>
      <c r="AK82" s="30">
        <v>72</v>
      </c>
      <c r="AM82" s="30">
        <v>64</v>
      </c>
      <c r="AO82" s="30">
        <v>64</v>
      </c>
      <c r="AQ82" s="495">
        <v>54</v>
      </c>
      <c r="AS82" s="30">
        <v>10</v>
      </c>
      <c r="AU82">
        <v>12</v>
      </c>
      <c r="AW82" s="30">
        <v>13</v>
      </c>
      <c r="AY82" s="30">
        <v>13</v>
      </c>
      <c r="BA82" s="30">
        <v>13</v>
      </c>
      <c r="BC82" s="30">
        <v>11</v>
      </c>
      <c r="BE82" s="30">
        <v>7</v>
      </c>
      <c r="BG82" s="30">
        <v>19</v>
      </c>
      <c r="BI82" s="30">
        <v>31</v>
      </c>
      <c r="BK82" s="30">
        <v>60</v>
      </c>
      <c r="BM82" s="769">
        <v>79</v>
      </c>
      <c r="BO82" s="30">
        <v>15</v>
      </c>
      <c r="BQ82" s="30">
        <v>21</v>
      </c>
      <c r="BS82" s="30">
        <v>72</v>
      </c>
      <c r="BU82" s="30">
        <v>43</v>
      </c>
      <c r="BW82" s="30">
        <v>54</v>
      </c>
      <c r="CC82" s="30">
        <v>33</v>
      </c>
    </row>
    <row r="83" spans="2:81" x14ac:dyDescent="0.2">
      <c r="B83" s="30">
        <v>75</v>
      </c>
      <c r="D83" s="30">
        <v>54</v>
      </c>
      <c r="F83" s="30">
        <v>18</v>
      </c>
      <c r="G83" s="34"/>
      <c r="H83" s="30">
        <v>2</v>
      </c>
      <c r="J83" s="30">
        <v>30</v>
      </c>
      <c r="L83" s="30">
        <v>78</v>
      </c>
      <c r="N83" s="30">
        <v>48</v>
      </c>
      <c r="P83" s="30">
        <v>26</v>
      </c>
      <c r="R83" s="30">
        <v>70</v>
      </c>
      <c r="T83" s="30">
        <v>40</v>
      </c>
      <c r="V83" s="30">
        <v>69</v>
      </c>
      <c r="X83" s="30">
        <v>15</v>
      </c>
      <c r="AA83" s="30">
        <v>60</v>
      </c>
      <c r="AC83" s="30">
        <v>27</v>
      </c>
      <c r="AE83" s="30">
        <v>50</v>
      </c>
      <c r="AG83" s="30">
        <v>26</v>
      </c>
      <c r="AI83" s="30">
        <v>23</v>
      </c>
      <c r="AK83" s="30">
        <v>98</v>
      </c>
      <c r="AM83" s="30">
        <v>63</v>
      </c>
      <c r="AO83" s="30">
        <v>80</v>
      </c>
      <c r="AQ83" s="495">
        <v>67</v>
      </c>
      <c r="AS83" s="30">
        <v>86</v>
      </c>
      <c r="AU83">
        <v>38</v>
      </c>
      <c r="AW83" s="30">
        <v>5</v>
      </c>
      <c r="AY83" s="30">
        <v>5</v>
      </c>
      <c r="BA83" s="30">
        <v>2</v>
      </c>
      <c r="BC83" s="30">
        <v>76</v>
      </c>
      <c r="BE83" s="30">
        <v>10</v>
      </c>
      <c r="BG83" s="30">
        <v>13</v>
      </c>
      <c r="BI83" s="30">
        <v>64</v>
      </c>
      <c r="BK83" s="30">
        <v>13</v>
      </c>
      <c r="BM83" s="769">
        <v>82</v>
      </c>
      <c r="BO83" s="30">
        <v>41</v>
      </c>
      <c r="BQ83" s="30">
        <v>36</v>
      </c>
      <c r="BS83" s="30">
        <v>33</v>
      </c>
      <c r="BU83" s="30">
        <v>37</v>
      </c>
      <c r="BW83" s="30">
        <v>42</v>
      </c>
      <c r="CC83" s="30">
        <v>72</v>
      </c>
    </row>
    <row r="84" spans="2:81" x14ac:dyDescent="0.2">
      <c r="B84" s="30">
        <v>11</v>
      </c>
      <c r="D84" s="30">
        <v>13</v>
      </c>
      <c r="F84" s="30">
        <v>61</v>
      </c>
      <c r="G84" s="34"/>
      <c r="H84" s="30">
        <v>43</v>
      </c>
      <c r="J84" s="30">
        <v>58</v>
      </c>
      <c r="L84" s="30">
        <v>100</v>
      </c>
      <c r="N84" s="30">
        <v>64</v>
      </c>
      <c r="P84" s="30">
        <v>27</v>
      </c>
      <c r="R84" s="30">
        <v>91</v>
      </c>
      <c r="T84" s="30">
        <v>72</v>
      </c>
      <c r="V84" s="30">
        <v>28</v>
      </c>
      <c r="X84" s="30">
        <v>89</v>
      </c>
      <c r="AA84" s="30">
        <v>15</v>
      </c>
      <c r="AC84" s="30">
        <v>78</v>
      </c>
      <c r="AE84" s="30">
        <v>10</v>
      </c>
      <c r="AG84" s="30">
        <v>54</v>
      </c>
      <c r="AI84" s="30">
        <v>39</v>
      </c>
      <c r="AK84" s="30">
        <v>60</v>
      </c>
      <c r="AM84" s="30">
        <v>81</v>
      </c>
      <c r="AO84" s="30">
        <v>25</v>
      </c>
      <c r="AQ84" s="495">
        <v>85</v>
      </c>
      <c r="AS84" s="30">
        <v>47</v>
      </c>
      <c r="AU84">
        <v>48</v>
      </c>
      <c r="AW84" s="30">
        <v>49</v>
      </c>
      <c r="AY84" s="30">
        <v>49</v>
      </c>
      <c r="BA84" s="30">
        <v>2</v>
      </c>
      <c r="BC84" s="30">
        <v>21</v>
      </c>
      <c r="BE84" s="30">
        <v>19</v>
      </c>
      <c r="BG84" s="30">
        <v>78</v>
      </c>
      <c r="BI84" s="30">
        <v>15</v>
      </c>
      <c r="BK84" s="30">
        <v>60</v>
      </c>
      <c r="BM84" s="769">
        <v>19</v>
      </c>
      <c r="BO84" s="30">
        <v>24</v>
      </c>
      <c r="BQ84" s="30">
        <v>37</v>
      </c>
      <c r="BS84" s="30">
        <v>13</v>
      </c>
      <c r="BU84" s="30">
        <v>68</v>
      </c>
      <c r="BW84" s="30">
        <v>11</v>
      </c>
      <c r="CC84" s="30">
        <v>81</v>
      </c>
    </row>
    <row r="85" spans="2:81" x14ac:dyDescent="0.2">
      <c r="B85" s="30">
        <v>9</v>
      </c>
      <c r="D85" s="30">
        <v>18</v>
      </c>
      <c r="F85" s="30">
        <v>31</v>
      </c>
      <c r="G85" s="34"/>
      <c r="H85" s="30">
        <v>24</v>
      </c>
      <c r="J85" s="30">
        <v>13</v>
      </c>
      <c r="L85" s="30">
        <v>89</v>
      </c>
      <c r="N85" s="30">
        <v>42</v>
      </c>
      <c r="P85" s="30">
        <v>27</v>
      </c>
      <c r="R85" s="30">
        <v>65</v>
      </c>
      <c r="T85" s="30">
        <v>77</v>
      </c>
      <c r="V85" s="30">
        <v>50</v>
      </c>
      <c r="X85" s="30">
        <v>11</v>
      </c>
      <c r="AA85" s="30">
        <v>89</v>
      </c>
      <c r="AC85" s="30">
        <v>11</v>
      </c>
      <c r="AE85" s="30">
        <v>46</v>
      </c>
      <c r="AG85" s="30">
        <v>61</v>
      </c>
      <c r="AI85" s="30">
        <v>5</v>
      </c>
      <c r="AK85" s="30">
        <v>42</v>
      </c>
      <c r="AM85" s="30">
        <v>94</v>
      </c>
      <c r="AO85" s="30">
        <v>46</v>
      </c>
      <c r="AQ85" s="495">
        <v>81</v>
      </c>
      <c r="AS85" s="30">
        <v>14</v>
      </c>
      <c r="AU85">
        <v>58</v>
      </c>
      <c r="AW85" s="30">
        <v>35</v>
      </c>
      <c r="AY85" s="30">
        <v>35</v>
      </c>
      <c r="BA85" s="30">
        <v>8</v>
      </c>
      <c r="BC85" s="30">
        <v>27</v>
      </c>
      <c r="BE85" s="30">
        <v>10</v>
      </c>
      <c r="BG85" s="30">
        <v>57</v>
      </c>
      <c r="BI85" s="30">
        <v>64</v>
      </c>
      <c r="BK85" s="30">
        <v>42</v>
      </c>
      <c r="BM85" s="769">
        <v>33</v>
      </c>
      <c r="BO85" s="30">
        <v>80</v>
      </c>
      <c r="BQ85" s="30">
        <v>50</v>
      </c>
      <c r="BS85" s="30">
        <v>22</v>
      </c>
      <c r="BU85" s="30">
        <v>47</v>
      </c>
      <c r="BW85" s="30">
        <v>93</v>
      </c>
      <c r="CC85" s="30">
        <v>48</v>
      </c>
    </row>
    <row r="86" spans="2:81" x14ac:dyDescent="0.2">
      <c r="B86" s="30">
        <v>7</v>
      </c>
      <c r="D86" s="30">
        <v>46</v>
      </c>
      <c r="F86" s="30">
        <v>34</v>
      </c>
      <c r="G86" s="34"/>
      <c r="H86" s="30">
        <v>93</v>
      </c>
      <c r="J86" s="30">
        <v>28</v>
      </c>
      <c r="L86" s="30">
        <v>67</v>
      </c>
      <c r="N86" s="30">
        <v>50</v>
      </c>
      <c r="P86" s="30">
        <v>28</v>
      </c>
      <c r="R86" s="30">
        <v>94</v>
      </c>
      <c r="T86" s="30">
        <v>44</v>
      </c>
      <c r="V86" s="30">
        <v>41</v>
      </c>
      <c r="X86" s="30">
        <v>40</v>
      </c>
      <c r="AA86" s="30">
        <v>11</v>
      </c>
      <c r="AC86" s="30">
        <v>42</v>
      </c>
      <c r="AE86" s="30">
        <v>67</v>
      </c>
      <c r="AG86" s="30">
        <v>70</v>
      </c>
      <c r="AI86" s="30">
        <v>5</v>
      </c>
      <c r="AK86" s="30">
        <v>13</v>
      </c>
      <c r="AM86" s="30">
        <v>16</v>
      </c>
      <c r="AO86" s="30">
        <v>67</v>
      </c>
      <c r="AQ86" s="495">
        <v>47</v>
      </c>
      <c r="AS86" s="30">
        <v>23</v>
      </c>
      <c r="AU86">
        <v>64</v>
      </c>
      <c r="AW86" s="30">
        <v>10</v>
      </c>
      <c r="AY86" s="30">
        <v>10</v>
      </c>
      <c r="BA86" s="30">
        <v>10</v>
      </c>
      <c r="BC86" s="30">
        <v>43</v>
      </c>
      <c r="BE86" s="30">
        <v>14</v>
      </c>
      <c r="BG86" s="30">
        <v>37</v>
      </c>
      <c r="BI86" s="30">
        <v>70</v>
      </c>
      <c r="BK86" s="30">
        <v>43</v>
      </c>
      <c r="BM86" s="769">
        <v>61</v>
      </c>
      <c r="BO86" s="30">
        <v>38</v>
      </c>
      <c r="BQ86" s="30">
        <v>19</v>
      </c>
      <c r="BS86" s="30">
        <v>73</v>
      </c>
      <c r="BU86" s="30">
        <v>29</v>
      </c>
      <c r="BW86" s="30">
        <v>56</v>
      </c>
      <c r="CC86" s="30">
        <v>40</v>
      </c>
    </row>
    <row r="87" spans="2:81" x14ac:dyDescent="0.2">
      <c r="B87" s="30">
        <v>59</v>
      </c>
      <c r="D87" s="30">
        <v>35</v>
      </c>
      <c r="F87" s="30">
        <v>62</v>
      </c>
      <c r="G87" s="34"/>
      <c r="H87" s="30">
        <v>5</v>
      </c>
      <c r="J87" s="30">
        <v>12</v>
      </c>
      <c r="L87" s="30">
        <v>42</v>
      </c>
      <c r="N87" s="30">
        <v>54</v>
      </c>
      <c r="P87" s="30">
        <v>28</v>
      </c>
      <c r="R87" s="30">
        <v>60</v>
      </c>
      <c r="T87" s="30">
        <v>54</v>
      </c>
      <c r="V87" s="30">
        <v>90</v>
      </c>
      <c r="X87" s="30">
        <v>26</v>
      </c>
      <c r="AA87" s="30">
        <v>40</v>
      </c>
      <c r="AC87" s="30">
        <v>28</v>
      </c>
      <c r="AE87" s="30">
        <v>46</v>
      </c>
      <c r="AG87" s="30">
        <v>94</v>
      </c>
      <c r="AI87" s="30">
        <v>60</v>
      </c>
      <c r="AK87" s="30">
        <v>50</v>
      </c>
      <c r="AM87" s="30">
        <v>13</v>
      </c>
      <c r="AO87" s="30">
        <v>89</v>
      </c>
      <c r="AQ87" s="495">
        <v>14</v>
      </c>
      <c r="AS87" s="30">
        <v>5</v>
      </c>
      <c r="AU87">
        <v>32</v>
      </c>
      <c r="AW87" s="30">
        <v>18</v>
      </c>
      <c r="AY87" s="30">
        <v>18</v>
      </c>
      <c r="BA87" s="30">
        <v>25</v>
      </c>
      <c r="BC87" s="30">
        <v>59</v>
      </c>
      <c r="BE87" s="30">
        <v>48</v>
      </c>
      <c r="BG87" s="30">
        <v>12</v>
      </c>
      <c r="BI87" s="30">
        <v>79</v>
      </c>
      <c r="BK87" s="30">
        <v>80</v>
      </c>
      <c r="BM87" s="769">
        <v>20</v>
      </c>
      <c r="BO87" s="30">
        <v>23</v>
      </c>
      <c r="BQ87" s="30">
        <v>36</v>
      </c>
      <c r="BS87" s="30">
        <v>73</v>
      </c>
      <c r="BU87" s="30">
        <v>66</v>
      </c>
      <c r="BW87" s="30">
        <v>69</v>
      </c>
      <c r="CC87" s="30">
        <v>20</v>
      </c>
    </row>
    <row r="88" spans="2:81" x14ac:dyDescent="0.2">
      <c r="B88" s="30">
        <v>60</v>
      </c>
      <c r="D88" s="30">
        <v>72</v>
      </c>
      <c r="F88" s="30">
        <v>92</v>
      </c>
      <c r="G88" s="34"/>
      <c r="H88" s="30">
        <v>24</v>
      </c>
      <c r="J88" s="30">
        <v>20</v>
      </c>
      <c r="L88" s="30">
        <v>88</v>
      </c>
      <c r="N88" s="30">
        <v>71</v>
      </c>
      <c r="P88" s="30">
        <v>28</v>
      </c>
      <c r="R88" s="30">
        <v>69</v>
      </c>
      <c r="T88" s="30">
        <v>61</v>
      </c>
      <c r="V88" s="30">
        <v>5</v>
      </c>
      <c r="X88" s="30">
        <v>30</v>
      </c>
      <c r="AA88" s="30">
        <v>26</v>
      </c>
      <c r="AC88" s="30">
        <v>34</v>
      </c>
      <c r="AE88" s="30">
        <v>87</v>
      </c>
      <c r="AG88" s="30">
        <v>23</v>
      </c>
      <c r="AI88" s="30">
        <v>14</v>
      </c>
      <c r="AK88" s="30">
        <v>23</v>
      </c>
      <c r="AM88" s="30">
        <v>39</v>
      </c>
      <c r="AO88" s="30">
        <v>43</v>
      </c>
      <c r="AQ88" s="495">
        <v>32</v>
      </c>
      <c r="AS88" s="30">
        <v>78</v>
      </c>
      <c r="AU88">
        <v>38</v>
      </c>
      <c r="AW88" s="30">
        <v>5</v>
      </c>
      <c r="AY88" s="30">
        <v>5</v>
      </c>
      <c r="BA88" s="30">
        <v>21</v>
      </c>
      <c r="BC88" s="30">
        <v>45</v>
      </c>
      <c r="BE88" s="30">
        <v>10</v>
      </c>
      <c r="BG88" s="30">
        <v>51</v>
      </c>
      <c r="BI88" s="30">
        <v>93</v>
      </c>
      <c r="BK88" s="30">
        <v>14</v>
      </c>
      <c r="BM88" s="769">
        <v>76</v>
      </c>
      <c r="BO88" s="30">
        <v>38</v>
      </c>
      <c r="BQ88" s="30">
        <v>81</v>
      </c>
      <c r="BS88" s="30">
        <v>17</v>
      </c>
      <c r="BU88" s="30">
        <v>11</v>
      </c>
      <c r="BW88" s="30">
        <v>18</v>
      </c>
      <c r="CC88" s="30">
        <v>57</v>
      </c>
    </row>
    <row r="89" spans="2:81" x14ac:dyDescent="0.2">
      <c r="B89" s="30">
        <v>85</v>
      </c>
      <c r="D89" s="30">
        <v>78</v>
      </c>
      <c r="F89" s="30">
        <v>36</v>
      </c>
      <c r="G89" s="34"/>
      <c r="H89" s="30">
        <v>9</v>
      </c>
      <c r="J89" s="30">
        <v>54</v>
      </c>
      <c r="L89" s="30">
        <v>63</v>
      </c>
      <c r="N89" s="30">
        <v>90</v>
      </c>
      <c r="P89" s="30">
        <v>29</v>
      </c>
      <c r="R89" s="30">
        <v>65</v>
      </c>
      <c r="T89" s="30">
        <v>38</v>
      </c>
      <c r="V89" s="30">
        <v>25</v>
      </c>
      <c r="X89" s="30">
        <v>62</v>
      </c>
      <c r="AA89" s="30">
        <v>30</v>
      </c>
      <c r="AC89" s="30">
        <v>57</v>
      </c>
      <c r="AE89" s="30">
        <v>15</v>
      </c>
      <c r="AG89" s="30">
        <v>11</v>
      </c>
      <c r="AI89" s="30">
        <v>47</v>
      </c>
      <c r="AK89" s="30">
        <v>5</v>
      </c>
      <c r="AM89" s="30">
        <v>30</v>
      </c>
      <c r="AO89" s="30">
        <v>41</v>
      </c>
      <c r="AQ89" s="495">
        <v>35</v>
      </c>
      <c r="AS89" s="30">
        <v>11</v>
      </c>
      <c r="AU89">
        <v>6</v>
      </c>
      <c r="AW89" s="30">
        <v>33</v>
      </c>
      <c r="AY89" s="30">
        <v>33</v>
      </c>
      <c r="BA89" s="30">
        <v>65</v>
      </c>
      <c r="BC89" s="30">
        <v>54</v>
      </c>
      <c r="BE89" s="30">
        <v>38</v>
      </c>
      <c r="BG89" s="30">
        <v>44</v>
      </c>
      <c r="BI89" s="30">
        <v>96</v>
      </c>
      <c r="BK89" s="30">
        <v>58</v>
      </c>
      <c r="BM89" s="769">
        <v>39</v>
      </c>
      <c r="BO89" s="30">
        <v>71</v>
      </c>
      <c r="BQ89" s="30">
        <v>40</v>
      </c>
      <c r="BS89" s="30">
        <v>41</v>
      </c>
      <c r="BU89" s="30">
        <v>89</v>
      </c>
      <c r="BW89" s="30">
        <v>73</v>
      </c>
      <c r="CC89" s="30">
        <v>73</v>
      </c>
    </row>
    <row r="90" spans="2:81" x14ac:dyDescent="0.2">
      <c r="B90" s="30">
        <v>3</v>
      </c>
      <c r="D90" s="30">
        <v>44</v>
      </c>
      <c r="F90" s="30">
        <v>35</v>
      </c>
      <c r="G90" s="34"/>
      <c r="H90" s="30">
        <v>31</v>
      </c>
      <c r="J90" s="30">
        <v>30</v>
      </c>
      <c r="L90" s="30">
        <v>29</v>
      </c>
      <c r="N90" s="30">
        <v>24</v>
      </c>
      <c r="P90" s="30">
        <v>29</v>
      </c>
      <c r="R90" s="30">
        <v>81</v>
      </c>
      <c r="T90" s="30">
        <v>74</v>
      </c>
      <c r="V90" s="30">
        <v>77</v>
      </c>
      <c r="X90" s="30">
        <v>54</v>
      </c>
      <c r="AA90" s="30">
        <v>62</v>
      </c>
      <c r="AC90" s="30">
        <v>75</v>
      </c>
      <c r="AE90" s="30">
        <v>37</v>
      </c>
      <c r="AG90" s="30">
        <v>15</v>
      </c>
      <c r="AI90" s="30">
        <v>70</v>
      </c>
      <c r="AK90" s="30">
        <v>8</v>
      </c>
      <c r="AM90" s="30">
        <v>5</v>
      </c>
      <c r="AO90" s="30">
        <v>11</v>
      </c>
      <c r="AQ90" s="495">
        <v>6</v>
      </c>
      <c r="AS90" s="30">
        <v>50</v>
      </c>
      <c r="AU90">
        <v>23</v>
      </c>
      <c r="AW90" s="30">
        <v>29</v>
      </c>
      <c r="AY90" s="30">
        <v>29</v>
      </c>
      <c r="BA90" s="30">
        <v>70</v>
      </c>
      <c r="BC90" s="30">
        <v>82</v>
      </c>
      <c r="BE90" s="30">
        <v>15</v>
      </c>
      <c r="BG90" s="30">
        <v>37</v>
      </c>
      <c r="BI90" s="30">
        <v>86</v>
      </c>
      <c r="BK90" s="30">
        <v>17</v>
      </c>
      <c r="BM90" s="769">
        <v>23</v>
      </c>
      <c r="BO90" s="30">
        <v>26</v>
      </c>
      <c r="BQ90" s="30">
        <v>16</v>
      </c>
      <c r="BS90" s="30">
        <v>56</v>
      </c>
      <c r="BU90" s="30">
        <v>29</v>
      </c>
      <c r="BW90" s="30">
        <v>75</v>
      </c>
      <c r="CC90" s="30">
        <v>65</v>
      </c>
    </row>
    <row r="91" spans="2:81" x14ac:dyDescent="0.2">
      <c r="B91" s="30">
        <v>28</v>
      </c>
      <c r="D91" s="30">
        <v>38</v>
      </c>
      <c r="F91" s="30">
        <v>19</v>
      </c>
      <c r="G91" s="34"/>
      <c r="H91" s="30">
        <v>46</v>
      </c>
      <c r="J91" s="30">
        <v>43</v>
      </c>
      <c r="L91" s="30">
        <v>22</v>
      </c>
      <c r="N91" s="30">
        <v>78</v>
      </c>
      <c r="P91" s="30">
        <v>29</v>
      </c>
      <c r="R91" s="30">
        <v>31</v>
      </c>
      <c r="T91" s="30">
        <v>68</v>
      </c>
      <c r="V91" s="30">
        <v>45</v>
      </c>
      <c r="X91" s="30">
        <v>70</v>
      </c>
      <c r="AA91" s="30">
        <v>54</v>
      </c>
      <c r="AC91" s="30">
        <v>76</v>
      </c>
      <c r="AE91" s="30">
        <v>37</v>
      </c>
      <c r="AG91" s="30">
        <v>47</v>
      </c>
      <c r="AI91" s="30">
        <v>46</v>
      </c>
      <c r="AK91" s="30">
        <v>65</v>
      </c>
      <c r="AM91" s="30">
        <v>6</v>
      </c>
      <c r="AO91" s="30">
        <v>3</v>
      </c>
      <c r="AQ91" s="495">
        <v>7</v>
      </c>
      <c r="AS91" s="30">
        <v>40</v>
      </c>
      <c r="AU91">
        <v>63</v>
      </c>
      <c r="AW91" s="30">
        <v>40</v>
      </c>
      <c r="AY91" s="30">
        <v>40</v>
      </c>
      <c r="BA91" s="30">
        <v>44</v>
      </c>
      <c r="BC91" s="30">
        <v>91</v>
      </c>
      <c r="BE91" s="30">
        <v>88</v>
      </c>
      <c r="BG91" s="30">
        <v>43</v>
      </c>
      <c r="BI91" s="30">
        <v>49</v>
      </c>
      <c r="BK91" s="30">
        <v>43</v>
      </c>
      <c r="BM91" s="769">
        <v>43</v>
      </c>
      <c r="BO91" s="30">
        <v>64</v>
      </c>
      <c r="BQ91" s="30">
        <v>45</v>
      </c>
      <c r="BS91" s="30">
        <v>84</v>
      </c>
      <c r="BU91" s="30">
        <v>77</v>
      </c>
      <c r="BW91" s="30">
        <v>49</v>
      </c>
      <c r="CC91" s="30">
        <v>34</v>
      </c>
    </row>
    <row r="92" spans="2:81" x14ac:dyDescent="0.2">
      <c r="B92" s="30">
        <v>90</v>
      </c>
      <c r="D92" s="30">
        <v>7</v>
      </c>
      <c r="F92" s="30">
        <v>0</v>
      </c>
      <c r="G92" s="34"/>
      <c r="H92" s="30">
        <v>23</v>
      </c>
      <c r="J92" s="30">
        <v>81</v>
      </c>
      <c r="L92" s="30">
        <v>20</v>
      </c>
      <c r="N92" s="30">
        <v>69</v>
      </c>
      <c r="P92" s="30">
        <v>29</v>
      </c>
      <c r="R92" s="30">
        <v>79</v>
      </c>
      <c r="T92" s="30">
        <v>40</v>
      </c>
      <c r="V92" s="30">
        <v>81</v>
      </c>
      <c r="X92" s="30">
        <v>27</v>
      </c>
      <c r="AA92" s="30">
        <v>70</v>
      </c>
      <c r="AC92" s="30">
        <v>35</v>
      </c>
      <c r="AE92" s="30">
        <v>21</v>
      </c>
      <c r="AG92" s="30">
        <v>5</v>
      </c>
      <c r="AI92" s="30">
        <v>13</v>
      </c>
      <c r="AK92" s="30">
        <v>26</v>
      </c>
      <c r="AM92" s="30">
        <v>61</v>
      </c>
      <c r="AO92" s="30">
        <v>7</v>
      </c>
      <c r="AQ92" s="495">
        <v>42</v>
      </c>
      <c r="AS92" s="30">
        <v>25</v>
      </c>
      <c r="AU92">
        <v>41</v>
      </c>
      <c r="AW92" s="30">
        <v>33</v>
      </c>
      <c r="AY92" s="30">
        <v>33</v>
      </c>
      <c r="BA92" s="30">
        <v>99</v>
      </c>
      <c r="BC92" s="30">
        <v>65</v>
      </c>
      <c r="BE92" s="30">
        <v>8</v>
      </c>
      <c r="BG92" s="30">
        <v>23</v>
      </c>
      <c r="BI92" s="30">
        <v>49</v>
      </c>
      <c r="BK92" s="30">
        <v>7</v>
      </c>
      <c r="BM92" s="769">
        <v>65</v>
      </c>
      <c r="BO92" s="30">
        <v>44</v>
      </c>
      <c r="BQ92" s="30">
        <v>67</v>
      </c>
      <c r="BS92" s="30">
        <v>50</v>
      </c>
      <c r="BU92" s="30">
        <v>80</v>
      </c>
      <c r="BW92" s="30">
        <v>58</v>
      </c>
      <c r="CC92" s="30">
        <v>92</v>
      </c>
    </row>
    <row r="93" spans="2:81" x14ac:dyDescent="0.2">
      <c r="B93" s="30">
        <v>53</v>
      </c>
      <c r="D93" s="30">
        <v>15</v>
      </c>
      <c r="F93" s="30">
        <v>10</v>
      </c>
      <c r="G93" s="34"/>
      <c r="H93" s="30">
        <v>12</v>
      </c>
      <c r="J93" s="30">
        <v>54</v>
      </c>
      <c r="L93" s="30">
        <v>10</v>
      </c>
      <c r="N93" s="30">
        <v>81</v>
      </c>
      <c r="P93" s="30">
        <v>29</v>
      </c>
      <c r="R93" s="30">
        <v>87</v>
      </c>
      <c r="T93" s="30">
        <v>89</v>
      </c>
      <c r="V93" s="30">
        <v>42</v>
      </c>
      <c r="X93" s="30">
        <v>51</v>
      </c>
      <c r="AA93" s="30">
        <v>27</v>
      </c>
      <c r="AC93" s="30">
        <v>38</v>
      </c>
      <c r="AE93" s="30">
        <v>9</v>
      </c>
      <c r="AG93" s="30">
        <v>7</v>
      </c>
      <c r="AI93" s="30">
        <v>87</v>
      </c>
      <c r="AK93" s="30">
        <v>64</v>
      </c>
      <c r="AM93" s="30">
        <v>19</v>
      </c>
      <c r="AO93" s="30">
        <v>2</v>
      </c>
      <c r="AQ93" s="495">
        <v>14</v>
      </c>
      <c r="AS93" s="30">
        <v>54</v>
      </c>
      <c r="AU93">
        <v>30</v>
      </c>
      <c r="AW93" s="30">
        <v>19</v>
      </c>
      <c r="AY93" s="30">
        <v>19</v>
      </c>
      <c r="BA93" s="30">
        <v>33</v>
      </c>
      <c r="BC93" s="30">
        <v>11</v>
      </c>
      <c r="BE93" s="30">
        <v>38</v>
      </c>
      <c r="BG93" s="30">
        <v>36</v>
      </c>
      <c r="BI93" s="30">
        <v>13</v>
      </c>
      <c r="BK93" s="30">
        <v>15</v>
      </c>
      <c r="BM93" s="769">
        <v>60</v>
      </c>
      <c r="BO93" s="30">
        <v>39</v>
      </c>
      <c r="BQ93" s="30">
        <v>38</v>
      </c>
      <c r="BS93" s="30">
        <v>43</v>
      </c>
      <c r="BU93" s="30">
        <v>29</v>
      </c>
      <c r="BW93" s="30">
        <v>15</v>
      </c>
      <c r="CC93" s="30">
        <v>85</v>
      </c>
    </row>
    <row r="94" spans="2:81" x14ac:dyDescent="0.2">
      <c r="B94" s="30">
        <v>5</v>
      </c>
      <c r="D94" s="30">
        <v>26</v>
      </c>
      <c r="F94" s="30">
        <v>9</v>
      </c>
      <c r="G94" s="34"/>
      <c r="H94" s="30">
        <v>47</v>
      </c>
      <c r="J94" s="30">
        <v>48</v>
      </c>
      <c r="L94" s="30">
        <v>25</v>
      </c>
      <c r="N94" s="30">
        <v>96</v>
      </c>
      <c r="P94" s="30">
        <v>30</v>
      </c>
      <c r="R94" s="30">
        <v>35</v>
      </c>
      <c r="T94" s="30">
        <v>37</v>
      </c>
      <c r="V94" s="30">
        <v>33</v>
      </c>
      <c r="X94" s="30">
        <v>31</v>
      </c>
      <c r="AA94" s="30">
        <v>51</v>
      </c>
      <c r="AC94" s="30">
        <v>42</v>
      </c>
      <c r="AE94" s="30">
        <v>29</v>
      </c>
      <c r="AG94" s="30">
        <v>57</v>
      </c>
      <c r="AI94" s="30">
        <v>42</v>
      </c>
      <c r="AK94" s="30">
        <v>78</v>
      </c>
      <c r="AM94" s="30">
        <v>45</v>
      </c>
      <c r="AO94" s="30">
        <v>7</v>
      </c>
      <c r="AQ94" s="495">
        <v>71</v>
      </c>
      <c r="AS94" s="30">
        <v>47</v>
      </c>
      <c r="AU94">
        <v>85</v>
      </c>
      <c r="AW94" s="30">
        <v>17</v>
      </c>
      <c r="AY94" s="30">
        <v>17</v>
      </c>
      <c r="BA94" s="30">
        <v>81</v>
      </c>
      <c r="BC94" s="30">
        <v>39</v>
      </c>
      <c r="BE94" s="30">
        <v>63</v>
      </c>
      <c r="BG94" s="30">
        <v>79</v>
      </c>
      <c r="BI94" s="30">
        <v>71</v>
      </c>
      <c r="BK94" s="30">
        <v>29</v>
      </c>
      <c r="BM94" s="769">
        <v>91</v>
      </c>
      <c r="BO94" s="30">
        <v>67</v>
      </c>
      <c r="BQ94" s="30">
        <v>33</v>
      </c>
      <c r="BS94" s="30">
        <v>48</v>
      </c>
      <c r="BU94" s="30">
        <v>78</v>
      </c>
      <c r="BW94" s="30">
        <v>20</v>
      </c>
      <c r="CC94" s="30">
        <v>80</v>
      </c>
    </row>
    <row r="95" spans="2:81" x14ac:dyDescent="0.2">
      <c r="B95" s="30">
        <v>18</v>
      </c>
      <c r="D95" s="30">
        <v>7</v>
      </c>
      <c r="F95" s="30">
        <v>2</v>
      </c>
      <c r="G95" s="34"/>
      <c r="H95" s="30">
        <v>81</v>
      </c>
      <c r="J95" s="30">
        <v>37</v>
      </c>
      <c r="L95" s="30">
        <v>92</v>
      </c>
      <c r="N95" s="30">
        <v>68</v>
      </c>
      <c r="P95" s="30">
        <v>30</v>
      </c>
      <c r="R95" s="30">
        <v>87</v>
      </c>
      <c r="T95" s="30">
        <v>67</v>
      </c>
      <c r="V95" s="30">
        <v>74</v>
      </c>
      <c r="X95" s="30">
        <v>45</v>
      </c>
      <c r="AA95" s="30">
        <v>31</v>
      </c>
      <c r="AC95" s="30">
        <v>84</v>
      </c>
      <c r="AE95" s="30">
        <v>17</v>
      </c>
      <c r="AG95" s="30">
        <v>25</v>
      </c>
      <c r="AI95" s="30">
        <v>21</v>
      </c>
      <c r="AK95" s="30">
        <v>37</v>
      </c>
      <c r="AM95" s="30">
        <v>53</v>
      </c>
      <c r="AO95" s="30">
        <v>12</v>
      </c>
      <c r="AQ95" s="495">
        <v>46</v>
      </c>
      <c r="AS95" s="30">
        <v>59</v>
      </c>
      <c r="AU95">
        <v>16</v>
      </c>
      <c r="AW95" s="30">
        <v>68</v>
      </c>
      <c r="AY95" s="30">
        <v>68</v>
      </c>
      <c r="BA95" s="30">
        <v>97</v>
      </c>
      <c r="BC95" s="30">
        <v>12</v>
      </c>
      <c r="BE95" s="30">
        <v>43</v>
      </c>
      <c r="BG95" s="30">
        <v>75</v>
      </c>
      <c r="BI95" s="30">
        <v>27</v>
      </c>
      <c r="BK95" s="30">
        <v>47</v>
      </c>
      <c r="BM95" s="769">
        <v>67</v>
      </c>
      <c r="BO95" s="30">
        <v>53</v>
      </c>
      <c r="BQ95" s="30">
        <v>68</v>
      </c>
      <c r="BS95" s="30">
        <v>3</v>
      </c>
      <c r="BU95" s="30">
        <v>39</v>
      </c>
      <c r="BW95" s="30">
        <v>80</v>
      </c>
      <c r="CC95" s="30">
        <v>33</v>
      </c>
    </row>
    <row r="96" spans="2:81" x14ac:dyDescent="0.2">
      <c r="B96" s="30">
        <v>16</v>
      </c>
      <c r="D96" s="30">
        <v>17</v>
      </c>
      <c r="F96" s="30">
        <v>39</v>
      </c>
      <c r="G96" s="34"/>
      <c r="H96" s="30">
        <v>23</v>
      </c>
      <c r="J96" s="30">
        <v>30</v>
      </c>
      <c r="L96" s="30">
        <v>87</v>
      </c>
      <c r="N96" s="30">
        <v>46</v>
      </c>
      <c r="P96" s="30">
        <v>30</v>
      </c>
      <c r="R96" s="30">
        <v>11</v>
      </c>
      <c r="T96" s="30">
        <v>8</v>
      </c>
      <c r="V96" s="30">
        <v>64</v>
      </c>
      <c r="X96" s="30">
        <v>82</v>
      </c>
      <c r="AA96" s="30">
        <v>45</v>
      </c>
      <c r="AC96" s="30">
        <v>43</v>
      </c>
      <c r="AE96" s="30">
        <v>17</v>
      </c>
      <c r="AG96" s="30">
        <v>46</v>
      </c>
      <c r="AI96" s="30">
        <v>66</v>
      </c>
      <c r="AK96" s="30">
        <v>13</v>
      </c>
      <c r="AM96" s="30">
        <v>14</v>
      </c>
      <c r="AO96" s="30">
        <v>4</v>
      </c>
      <c r="AQ96" s="495">
        <v>5</v>
      </c>
      <c r="AS96" s="30">
        <v>75</v>
      </c>
      <c r="AU96">
        <v>31</v>
      </c>
      <c r="AW96" s="30">
        <v>15</v>
      </c>
      <c r="AY96" s="30">
        <v>15</v>
      </c>
      <c r="BA96" s="30">
        <v>52</v>
      </c>
      <c r="BC96" s="30">
        <v>31</v>
      </c>
      <c r="BE96" s="30">
        <v>61</v>
      </c>
      <c r="BG96" s="30">
        <v>35</v>
      </c>
      <c r="BI96" s="30">
        <v>0</v>
      </c>
      <c r="BK96" s="30">
        <v>55</v>
      </c>
      <c r="BM96" s="769">
        <v>25</v>
      </c>
      <c r="BO96" s="30">
        <v>37</v>
      </c>
      <c r="BQ96" s="30">
        <v>18</v>
      </c>
      <c r="BS96" s="30">
        <v>35</v>
      </c>
      <c r="BU96" s="30">
        <v>28</v>
      </c>
      <c r="BW96" s="30">
        <v>14</v>
      </c>
      <c r="CC96" s="30">
        <v>76</v>
      </c>
    </row>
    <row r="97" spans="2:81" x14ac:dyDescent="0.2">
      <c r="B97" s="30">
        <v>36</v>
      </c>
      <c r="D97" s="30">
        <v>87</v>
      </c>
      <c r="F97" s="30">
        <v>80</v>
      </c>
      <c r="G97" s="34"/>
      <c r="H97" s="30">
        <v>30</v>
      </c>
      <c r="J97" s="30">
        <v>77</v>
      </c>
      <c r="L97" s="30">
        <v>8</v>
      </c>
      <c r="N97" s="30">
        <v>90</v>
      </c>
      <c r="P97" s="30">
        <v>30</v>
      </c>
      <c r="R97" s="30">
        <v>77</v>
      </c>
      <c r="T97" s="30">
        <v>70</v>
      </c>
      <c r="V97" s="30">
        <v>14</v>
      </c>
      <c r="X97" s="30">
        <v>36</v>
      </c>
      <c r="AA97" s="30">
        <v>82</v>
      </c>
      <c r="AC97" s="30">
        <v>1</v>
      </c>
      <c r="AE97" s="30">
        <v>67</v>
      </c>
      <c r="AG97" s="30">
        <v>59</v>
      </c>
      <c r="AI97" s="30">
        <v>73</v>
      </c>
      <c r="AK97" s="30">
        <v>84</v>
      </c>
      <c r="AM97" s="30">
        <v>41</v>
      </c>
      <c r="AO97" s="30">
        <v>0</v>
      </c>
      <c r="AQ97" s="495">
        <v>44</v>
      </c>
      <c r="AS97" s="30">
        <v>14</v>
      </c>
      <c r="AU97">
        <v>90</v>
      </c>
      <c r="AW97" s="30">
        <v>96</v>
      </c>
      <c r="AY97" s="30">
        <v>96</v>
      </c>
      <c r="BA97" s="30">
        <v>46</v>
      </c>
      <c r="BC97" s="30">
        <v>40</v>
      </c>
      <c r="BE97" s="30">
        <v>32</v>
      </c>
      <c r="BG97" s="30">
        <v>30</v>
      </c>
      <c r="BI97" s="30">
        <v>74</v>
      </c>
      <c r="BK97" s="30">
        <v>77</v>
      </c>
      <c r="BM97" s="769">
        <v>27</v>
      </c>
      <c r="BO97" s="30">
        <v>19</v>
      </c>
      <c r="BQ97" s="30">
        <v>0</v>
      </c>
      <c r="BS97" s="30">
        <v>59</v>
      </c>
      <c r="BU97" s="30">
        <v>7</v>
      </c>
      <c r="BW97" s="30">
        <v>10</v>
      </c>
      <c r="CC97" s="30">
        <v>20</v>
      </c>
    </row>
    <row r="98" spans="2:81" x14ac:dyDescent="0.2">
      <c r="B98" s="30">
        <v>28</v>
      </c>
      <c r="D98" s="30">
        <v>80</v>
      </c>
      <c r="F98" s="30">
        <v>4</v>
      </c>
      <c r="G98" s="34"/>
      <c r="H98" s="30">
        <v>24</v>
      </c>
      <c r="J98" s="30">
        <v>57</v>
      </c>
      <c r="L98" s="30">
        <v>34</v>
      </c>
      <c r="N98" s="30">
        <v>56</v>
      </c>
      <c r="P98" s="30">
        <v>30</v>
      </c>
      <c r="R98" s="30">
        <v>40</v>
      </c>
      <c r="T98" s="30">
        <v>50</v>
      </c>
      <c r="V98" s="30">
        <v>71</v>
      </c>
      <c r="X98" s="30">
        <v>90</v>
      </c>
      <c r="AA98" s="30">
        <v>36</v>
      </c>
      <c r="AC98" s="30">
        <v>42</v>
      </c>
      <c r="AE98" s="30">
        <v>48</v>
      </c>
      <c r="AG98" s="30">
        <v>6</v>
      </c>
      <c r="AI98" s="30">
        <v>45</v>
      </c>
      <c r="AK98" s="30">
        <v>19</v>
      </c>
      <c r="AM98" s="30">
        <v>15</v>
      </c>
      <c r="AO98" s="30">
        <v>72</v>
      </c>
      <c r="AQ98" s="495">
        <v>14</v>
      </c>
      <c r="AS98" s="30">
        <v>56</v>
      </c>
      <c r="AU98">
        <v>22</v>
      </c>
      <c r="AW98" s="30">
        <v>64</v>
      </c>
      <c r="AY98" s="30">
        <v>64</v>
      </c>
      <c r="BA98" s="30">
        <v>42</v>
      </c>
      <c r="BC98" s="30">
        <v>26</v>
      </c>
      <c r="BE98" s="30">
        <v>8</v>
      </c>
      <c r="BG98" s="30">
        <v>49</v>
      </c>
      <c r="BI98" s="30">
        <v>65</v>
      </c>
      <c r="BK98" s="30">
        <v>80</v>
      </c>
      <c r="BM98" s="769">
        <v>79</v>
      </c>
      <c r="BO98" s="30">
        <v>30</v>
      </c>
      <c r="BQ98" s="30">
        <v>70</v>
      </c>
      <c r="BS98" s="30">
        <v>69</v>
      </c>
      <c r="BU98" s="30">
        <v>68</v>
      </c>
      <c r="BW98" s="30">
        <v>50</v>
      </c>
      <c r="CC98" s="30">
        <v>20</v>
      </c>
    </row>
    <row r="99" spans="2:81" x14ac:dyDescent="0.2">
      <c r="B99" s="30">
        <v>9</v>
      </c>
      <c r="D99" s="30">
        <v>25</v>
      </c>
      <c r="F99" s="30">
        <v>29</v>
      </c>
      <c r="G99" s="34"/>
      <c r="H99" s="30">
        <v>13</v>
      </c>
      <c r="J99" s="30">
        <v>56</v>
      </c>
      <c r="L99" s="30">
        <v>69</v>
      </c>
      <c r="N99" s="30">
        <v>33</v>
      </c>
      <c r="P99" s="30">
        <v>30</v>
      </c>
      <c r="R99" s="30">
        <v>66</v>
      </c>
      <c r="T99" s="30">
        <v>66</v>
      </c>
      <c r="V99" s="30">
        <v>67</v>
      </c>
      <c r="X99" s="30">
        <v>1</v>
      </c>
      <c r="AA99" s="30">
        <v>90</v>
      </c>
      <c r="AC99" s="30">
        <v>86</v>
      </c>
      <c r="AE99" s="30">
        <v>59</v>
      </c>
      <c r="AG99" s="30">
        <v>11</v>
      </c>
      <c r="AI99" s="30">
        <v>44</v>
      </c>
      <c r="AK99" s="30">
        <v>73</v>
      </c>
      <c r="AM99" s="30">
        <v>86</v>
      </c>
      <c r="AO99" s="30">
        <v>50</v>
      </c>
      <c r="AQ99" s="495">
        <v>68</v>
      </c>
      <c r="AS99" s="30">
        <v>51</v>
      </c>
      <c r="AU99">
        <v>54</v>
      </c>
      <c r="AW99" s="30">
        <v>45</v>
      </c>
      <c r="AY99" s="30">
        <v>45</v>
      </c>
      <c r="BA99" s="30">
        <v>35</v>
      </c>
      <c r="BC99" s="30">
        <v>57</v>
      </c>
      <c r="BE99" s="30">
        <v>16</v>
      </c>
      <c r="BG99" s="30">
        <v>62</v>
      </c>
      <c r="BI99" s="30">
        <v>22</v>
      </c>
      <c r="BK99" s="30">
        <v>87</v>
      </c>
      <c r="BM99" s="769">
        <v>14</v>
      </c>
      <c r="BO99" s="30">
        <v>11</v>
      </c>
      <c r="BQ99" s="30">
        <v>23</v>
      </c>
      <c r="BS99" s="30">
        <v>12</v>
      </c>
      <c r="BU99" s="30">
        <v>29</v>
      </c>
      <c r="BW99" s="30">
        <v>13</v>
      </c>
      <c r="CC99" s="30">
        <v>35</v>
      </c>
    </row>
    <row r="100" spans="2:81" x14ac:dyDescent="0.2">
      <c r="B100" s="30">
        <v>43</v>
      </c>
      <c r="D100" s="30">
        <v>93</v>
      </c>
      <c r="F100" s="59"/>
      <c r="G100" s="34"/>
      <c r="H100" s="59"/>
      <c r="J100" s="30">
        <v>79</v>
      </c>
      <c r="L100" s="30">
        <v>46</v>
      </c>
      <c r="N100" s="30">
        <v>20</v>
      </c>
      <c r="P100" s="30">
        <v>30</v>
      </c>
      <c r="R100" s="30">
        <v>40</v>
      </c>
      <c r="T100" s="30">
        <v>39</v>
      </c>
      <c r="V100" s="30">
        <v>24</v>
      </c>
      <c r="X100" s="30">
        <v>31</v>
      </c>
      <c r="AA100" s="30">
        <v>1</v>
      </c>
      <c r="AC100" s="30">
        <v>63</v>
      </c>
      <c r="AE100" s="30">
        <v>45</v>
      </c>
      <c r="AG100" s="30">
        <v>76</v>
      </c>
      <c r="AI100" s="30">
        <v>87</v>
      </c>
      <c r="AK100" s="30">
        <v>72</v>
      </c>
      <c r="AM100" s="30">
        <v>15</v>
      </c>
      <c r="AO100" s="30">
        <v>60</v>
      </c>
      <c r="AQ100" s="495">
        <v>23</v>
      </c>
      <c r="AS100" s="30">
        <v>65</v>
      </c>
      <c r="AU100">
        <v>94</v>
      </c>
      <c r="AW100" s="30">
        <v>80</v>
      </c>
      <c r="AY100" s="30">
        <v>80</v>
      </c>
      <c r="BA100" s="30">
        <v>72</v>
      </c>
      <c r="BC100" s="30">
        <v>24</v>
      </c>
      <c r="BE100" s="30">
        <v>44</v>
      </c>
      <c r="BG100" s="30">
        <v>37</v>
      </c>
      <c r="BI100" s="30">
        <v>72</v>
      </c>
      <c r="BK100" s="30">
        <v>13</v>
      </c>
      <c r="BM100" s="769">
        <v>43</v>
      </c>
      <c r="BO100" s="30">
        <v>52</v>
      </c>
      <c r="BQ100" s="30">
        <v>10</v>
      </c>
      <c r="BS100" s="30">
        <v>31</v>
      </c>
      <c r="BU100" s="30">
        <v>69</v>
      </c>
      <c r="BW100" s="30">
        <v>32</v>
      </c>
      <c r="CC100" s="30">
        <v>57</v>
      </c>
    </row>
    <row r="101" spans="2:81" x14ac:dyDescent="0.2">
      <c r="B101" s="30">
        <v>51</v>
      </c>
      <c r="D101" s="30">
        <v>96</v>
      </c>
      <c r="F101" s="30">
        <v>76</v>
      </c>
      <c r="G101" s="34"/>
      <c r="H101" s="30">
        <v>48</v>
      </c>
      <c r="J101" s="30">
        <v>51</v>
      </c>
      <c r="L101" s="30">
        <v>35</v>
      </c>
      <c r="N101" s="30">
        <v>68</v>
      </c>
      <c r="P101" s="30">
        <v>31</v>
      </c>
      <c r="R101" s="30">
        <v>29</v>
      </c>
      <c r="T101" s="30">
        <v>35</v>
      </c>
      <c r="V101" s="30">
        <v>64</v>
      </c>
      <c r="X101" s="30">
        <v>44</v>
      </c>
      <c r="AA101" s="30">
        <v>31</v>
      </c>
      <c r="AC101" s="30">
        <v>41</v>
      </c>
      <c r="AD101" s="30" t="s">
        <v>117</v>
      </c>
      <c r="AE101" s="30">
        <v>67</v>
      </c>
      <c r="AG101" s="30">
        <v>37</v>
      </c>
      <c r="AI101" s="30">
        <v>26</v>
      </c>
      <c r="AK101" s="30">
        <v>49</v>
      </c>
      <c r="AM101" s="30">
        <v>86</v>
      </c>
      <c r="AO101" s="30">
        <v>64</v>
      </c>
      <c r="AQ101" s="495">
        <v>88</v>
      </c>
      <c r="AS101" s="30">
        <v>96</v>
      </c>
      <c r="AU101">
        <v>10</v>
      </c>
      <c r="AW101" s="30">
        <v>18</v>
      </c>
      <c r="AY101" s="30">
        <v>18</v>
      </c>
      <c r="BA101" s="30">
        <v>22</v>
      </c>
      <c r="BC101" s="30">
        <v>73</v>
      </c>
      <c r="BE101" s="30">
        <v>70</v>
      </c>
      <c r="BG101" s="30">
        <v>4</v>
      </c>
      <c r="BI101" s="30">
        <v>0</v>
      </c>
      <c r="BK101" s="30">
        <v>92</v>
      </c>
      <c r="BM101" s="769">
        <v>85</v>
      </c>
      <c r="BO101" s="30">
        <v>45</v>
      </c>
      <c r="BQ101" s="30">
        <v>63</v>
      </c>
      <c r="BS101" s="30">
        <v>94</v>
      </c>
      <c r="BU101" s="30">
        <v>28</v>
      </c>
      <c r="BW101" s="30">
        <v>23</v>
      </c>
      <c r="CC101" s="30">
        <v>33</v>
      </c>
    </row>
    <row r="102" spans="2:81" x14ac:dyDescent="0.2">
      <c r="B102" s="30">
        <v>16</v>
      </c>
      <c r="D102" s="30">
        <v>87</v>
      </c>
      <c r="F102" s="30">
        <v>3</v>
      </c>
      <c r="G102" s="34"/>
      <c r="H102" s="30">
        <v>36</v>
      </c>
      <c r="J102" s="30">
        <v>57</v>
      </c>
      <c r="L102" s="30">
        <v>31</v>
      </c>
      <c r="N102" s="30">
        <v>11</v>
      </c>
      <c r="P102" s="30">
        <v>31</v>
      </c>
      <c r="R102" s="30">
        <v>97</v>
      </c>
      <c r="T102" s="30">
        <v>75</v>
      </c>
      <c r="V102" s="30">
        <v>15</v>
      </c>
      <c r="X102" s="30">
        <v>49</v>
      </c>
      <c r="AA102" s="30">
        <v>44</v>
      </c>
      <c r="AC102" s="30">
        <v>38</v>
      </c>
      <c r="AE102" s="30">
        <v>62</v>
      </c>
      <c r="AG102" s="30">
        <v>14</v>
      </c>
      <c r="AI102" s="30">
        <v>88</v>
      </c>
      <c r="AK102" s="30">
        <v>48</v>
      </c>
      <c r="AM102" s="30">
        <v>86</v>
      </c>
      <c r="AO102" s="30">
        <v>19</v>
      </c>
      <c r="AQ102" s="495">
        <v>64</v>
      </c>
      <c r="AS102" s="30">
        <v>88</v>
      </c>
      <c r="AU102">
        <v>60</v>
      </c>
      <c r="AW102" s="30">
        <v>64</v>
      </c>
      <c r="AY102" s="30">
        <v>64</v>
      </c>
      <c r="BA102" s="30">
        <v>54</v>
      </c>
      <c r="BC102" s="30">
        <v>54</v>
      </c>
      <c r="BE102" s="30">
        <v>98</v>
      </c>
      <c r="BG102" s="30">
        <v>27</v>
      </c>
      <c r="BI102" s="30">
        <v>37</v>
      </c>
      <c r="BK102" s="30">
        <v>38</v>
      </c>
      <c r="BM102" s="769">
        <v>23</v>
      </c>
      <c r="BO102" s="30">
        <v>39</v>
      </c>
      <c r="BQ102" s="30">
        <v>42</v>
      </c>
      <c r="BS102" s="30">
        <v>25</v>
      </c>
      <c r="BU102" s="30">
        <v>41</v>
      </c>
      <c r="BW102" s="30">
        <v>16</v>
      </c>
      <c r="CC102" s="30">
        <v>32</v>
      </c>
    </row>
    <row r="103" spans="2:81" x14ac:dyDescent="0.2">
      <c r="B103" s="30">
        <v>51</v>
      </c>
      <c r="D103" s="30">
        <v>28</v>
      </c>
      <c r="E103" s="30" t="s">
        <v>116</v>
      </c>
      <c r="F103" s="30">
        <v>23</v>
      </c>
      <c r="G103" s="34"/>
      <c r="H103" s="30">
        <v>58</v>
      </c>
      <c r="J103" s="30">
        <v>40</v>
      </c>
      <c r="L103" s="30">
        <v>31</v>
      </c>
      <c r="N103" s="30">
        <v>25</v>
      </c>
      <c r="P103" s="30">
        <v>31</v>
      </c>
      <c r="R103" s="30">
        <v>73</v>
      </c>
      <c r="T103" s="30">
        <v>63</v>
      </c>
      <c r="V103" s="30">
        <v>57</v>
      </c>
      <c r="X103" s="30">
        <v>38</v>
      </c>
      <c r="AA103" s="30">
        <v>49</v>
      </c>
      <c r="AC103" s="30">
        <v>61</v>
      </c>
      <c r="AE103" s="30">
        <v>87</v>
      </c>
      <c r="AG103" s="30">
        <v>58</v>
      </c>
      <c r="AI103" s="30">
        <v>52</v>
      </c>
      <c r="AK103" s="30">
        <v>21</v>
      </c>
      <c r="AM103" s="30">
        <v>31</v>
      </c>
      <c r="AO103" s="30">
        <v>39</v>
      </c>
      <c r="AQ103" s="495">
        <v>58</v>
      </c>
      <c r="AS103" s="30">
        <v>27</v>
      </c>
      <c r="AU103">
        <v>93</v>
      </c>
      <c r="AW103" s="30">
        <v>62</v>
      </c>
      <c r="AY103" s="30">
        <v>62</v>
      </c>
      <c r="BA103" s="30">
        <v>48</v>
      </c>
      <c r="BC103" s="30">
        <v>26</v>
      </c>
      <c r="BE103" s="30">
        <v>51</v>
      </c>
      <c r="BG103" s="30">
        <v>58</v>
      </c>
      <c r="BI103" s="30">
        <v>54</v>
      </c>
      <c r="BK103" s="30">
        <v>25</v>
      </c>
      <c r="BM103" s="769">
        <v>53</v>
      </c>
      <c r="BO103" s="30">
        <v>6</v>
      </c>
      <c r="BQ103" s="30">
        <v>21</v>
      </c>
      <c r="BS103" s="30">
        <v>8</v>
      </c>
      <c r="BU103" s="30">
        <v>36</v>
      </c>
      <c r="BW103" s="30">
        <v>61</v>
      </c>
      <c r="CC103" s="30">
        <v>20</v>
      </c>
    </row>
    <row r="104" spans="2:81" x14ac:dyDescent="0.2">
      <c r="B104" s="30">
        <v>32</v>
      </c>
      <c r="D104" s="30">
        <v>90</v>
      </c>
      <c r="F104" s="30">
        <v>9</v>
      </c>
      <c r="G104" s="34"/>
      <c r="H104" s="30">
        <v>60</v>
      </c>
      <c r="J104" s="30">
        <v>78</v>
      </c>
      <c r="L104" s="30">
        <v>89</v>
      </c>
      <c r="N104" s="30">
        <v>95</v>
      </c>
      <c r="P104" s="30">
        <v>31</v>
      </c>
      <c r="R104" s="30">
        <v>62</v>
      </c>
      <c r="T104" s="30">
        <v>54</v>
      </c>
      <c r="V104" s="30">
        <v>37</v>
      </c>
      <c r="X104" s="30">
        <v>29</v>
      </c>
      <c r="AA104" s="30">
        <v>38</v>
      </c>
      <c r="AC104" s="30">
        <v>42</v>
      </c>
      <c r="AE104" s="30">
        <v>43</v>
      </c>
      <c r="AG104" s="30">
        <v>30</v>
      </c>
      <c r="AI104" s="30">
        <v>74</v>
      </c>
      <c r="AK104" s="30">
        <v>59</v>
      </c>
      <c r="AM104" s="30">
        <v>59</v>
      </c>
      <c r="AO104" s="30">
        <v>56</v>
      </c>
      <c r="AQ104" s="495">
        <v>47</v>
      </c>
      <c r="AS104" s="30">
        <v>15</v>
      </c>
      <c r="AU104">
        <v>24</v>
      </c>
      <c r="AW104" s="30">
        <v>31</v>
      </c>
      <c r="AY104" s="30">
        <v>31</v>
      </c>
      <c r="BA104" s="30">
        <v>33</v>
      </c>
      <c r="BC104" s="30">
        <v>22</v>
      </c>
      <c r="BE104" s="30">
        <v>31</v>
      </c>
      <c r="BG104" s="30">
        <v>9</v>
      </c>
      <c r="BI104" s="30">
        <v>81</v>
      </c>
      <c r="BK104" s="30">
        <v>7</v>
      </c>
      <c r="BM104" s="769">
        <v>71</v>
      </c>
      <c r="BO104" s="30">
        <v>87</v>
      </c>
      <c r="BQ104" s="30">
        <v>17</v>
      </c>
      <c r="BS104" s="30">
        <v>42</v>
      </c>
      <c r="BU104" s="30">
        <v>18</v>
      </c>
      <c r="BW104" s="30">
        <v>62</v>
      </c>
      <c r="CC104" s="30">
        <v>20</v>
      </c>
    </row>
    <row r="105" spans="2:81" x14ac:dyDescent="0.2">
      <c r="B105" s="60">
        <v>32</v>
      </c>
      <c r="D105" s="30">
        <v>22</v>
      </c>
      <c r="F105" s="30">
        <v>62</v>
      </c>
      <c r="G105" s="34"/>
      <c r="H105" s="30">
        <v>45</v>
      </c>
      <c r="J105" s="30">
        <v>40</v>
      </c>
      <c r="L105" s="30">
        <v>57</v>
      </c>
      <c r="N105" s="30">
        <v>96</v>
      </c>
      <c r="P105" s="30">
        <v>31</v>
      </c>
      <c r="R105" s="30">
        <v>57</v>
      </c>
      <c r="T105" s="30">
        <v>20</v>
      </c>
      <c r="V105" s="30">
        <v>32</v>
      </c>
      <c r="X105" s="30">
        <v>63</v>
      </c>
      <c r="AA105" s="30">
        <v>29</v>
      </c>
      <c r="AC105" s="30">
        <v>20</v>
      </c>
      <c r="AE105" s="30">
        <v>42</v>
      </c>
      <c r="AG105" s="30">
        <v>67</v>
      </c>
      <c r="AI105" s="30">
        <v>82</v>
      </c>
      <c r="AK105" s="30">
        <v>82</v>
      </c>
      <c r="AM105" s="30">
        <v>20</v>
      </c>
      <c r="AO105" s="30">
        <v>17</v>
      </c>
      <c r="AQ105" s="495">
        <v>3</v>
      </c>
      <c r="AS105" s="30">
        <v>77</v>
      </c>
      <c r="AU105">
        <v>78</v>
      </c>
      <c r="AW105" s="30">
        <v>89</v>
      </c>
      <c r="AY105" s="30">
        <v>89</v>
      </c>
      <c r="BA105" s="30">
        <v>81</v>
      </c>
      <c r="BC105" s="30">
        <v>76</v>
      </c>
      <c r="BE105" s="30">
        <v>36</v>
      </c>
      <c r="BG105" s="30">
        <v>77</v>
      </c>
      <c r="BI105" s="30">
        <v>29</v>
      </c>
      <c r="BK105" s="30">
        <v>23</v>
      </c>
      <c r="BM105" s="769">
        <v>9</v>
      </c>
      <c r="BO105" s="30">
        <v>97</v>
      </c>
      <c r="BQ105" s="30">
        <v>21</v>
      </c>
      <c r="BS105" s="30">
        <v>59</v>
      </c>
      <c r="BU105" s="30">
        <v>56</v>
      </c>
      <c r="BW105" s="30">
        <v>78</v>
      </c>
      <c r="CC105" s="30">
        <v>14</v>
      </c>
    </row>
    <row r="106" spans="2:81" x14ac:dyDescent="0.2">
      <c r="B106" s="30">
        <v>28</v>
      </c>
      <c r="C106" s="30" t="s">
        <v>118</v>
      </c>
      <c r="D106" s="30">
        <v>100</v>
      </c>
      <c r="F106" s="30">
        <v>38</v>
      </c>
      <c r="G106" s="34"/>
      <c r="H106" s="30">
        <v>46</v>
      </c>
      <c r="J106" s="30">
        <v>62</v>
      </c>
      <c r="L106" s="59"/>
      <c r="N106" s="30">
        <v>13</v>
      </c>
      <c r="P106" s="30">
        <v>32</v>
      </c>
      <c r="R106" s="30">
        <v>71</v>
      </c>
      <c r="T106" s="30">
        <v>75</v>
      </c>
      <c r="V106" s="30">
        <v>59</v>
      </c>
      <c r="X106" s="30">
        <v>21</v>
      </c>
      <c r="AA106" s="30">
        <v>63</v>
      </c>
      <c r="AC106" s="30">
        <v>55</v>
      </c>
      <c r="AE106" s="30">
        <v>59</v>
      </c>
      <c r="AG106" s="30">
        <v>48</v>
      </c>
      <c r="AI106" s="30">
        <v>36</v>
      </c>
      <c r="AK106" s="30">
        <v>66</v>
      </c>
      <c r="AM106" s="30">
        <v>57</v>
      </c>
      <c r="AO106" s="30">
        <v>13</v>
      </c>
      <c r="AQ106" s="495">
        <v>46</v>
      </c>
      <c r="AS106" s="30">
        <v>35</v>
      </c>
      <c r="AU106">
        <v>82</v>
      </c>
      <c r="AW106" s="30">
        <v>6</v>
      </c>
      <c r="AY106" s="30">
        <v>6</v>
      </c>
      <c r="BA106" s="30">
        <v>62</v>
      </c>
      <c r="BC106" s="30">
        <v>30</v>
      </c>
      <c r="BE106" s="30">
        <v>41</v>
      </c>
      <c r="BG106" s="30">
        <v>34</v>
      </c>
      <c r="BI106" s="30">
        <v>14</v>
      </c>
      <c r="BK106" s="30">
        <v>56</v>
      </c>
      <c r="BM106" s="769">
        <v>47</v>
      </c>
      <c r="BO106" s="30">
        <v>23</v>
      </c>
      <c r="BQ106" s="30">
        <v>14</v>
      </c>
      <c r="BS106" s="30">
        <v>14</v>
      </c>
      <c r="BU106" s="30">
        <v>66</v>
      </c>
      <c r="BW106" s="30">
        <v>69</v>
      </c>
      <c r="CC106" s="30">
        <v>52</v>
      </c>
    </row>
    <row r="107" spans="2:81" x14ac:dyDescent="0.2">
      <c r="B107" s="30">
        <v>26</v>
      </c>
      <c r="D107" s="30">
        <v>83</v>
      </c>
      <c r="F107" s="30">
        <v>28</v>
      </c>
      <c r="G107" s="34"/>
      <c r="H107" s="30">
        <v>70</v>
      </c>
      <c r="J107" s="30">
        <v>26</v>
      </c>
      <c r="L107" s="30">
        <v>37</v>
      </c>
      <c r="N107" s="30">
        <v>21</v>
      </c>
      <c r="P107" s="30">
        <v>32</v>
      </c>
      <c r="R107" s="30">
        <v>3</v>
      </c>
      <c r="T107" s="30">
        <v>12</v>
      </c>
      <c r="V107" s="30">
        <v>58</v>
      </c>
      <c r="X107" s="30">
        <v>2</v>
      </c>
      <c r="AA107" s="30">
        <v>21</v>
      </c>
      <c r="AC107" s="30">
        <v>69</v>
      </c>
      <c r="AE107" s="30">
        <v>24</v>
      </c>
      <c r="AG107" s="30">
        <v>100</v>
      </c>
      <c r="AI107" s="30">
        <v>35</v>
      </c>
      <c r="AK107" s="30">
        <v>19</v>
      </c>
      <c r="AM107" s="30">
        <v>64</v>
      </c>
      <c r="AO107" s="30">
        <v>22</v>
      </c>
      <c r="AQ107" s="495">
        <v>85</v>
      </c>
      <c r="AS107" s="30">
        <v>24</v>
      </c>
      <c r="AU107">
        <v>58</v>
      </c>
      <c r="AW107" s="30">
        <v>11</v>
      </c>
      <c r="AY107" s="30">
        <v>11</v>
      </c>
      <c r="BA107" s="30">
        <v>91</v>
      </c>
      <c r="BC107" s="30">
        <v>22</v>
      </c>
      <c r="BE107" s="30">
        <v>19</v>
      </c>
      <c r="BG107" s="30">
        <v>0</v>
      </c>
      <c r="BI107" s="30">
        <v>53</v>
      </c>
      <c r="BK107" s="30">
        <v>30</v>
      </c>
      <c r="BM107" s="769">
        <v>17</v>
      </c>
      <c r="BO107" s="30">
        <v>66</v>
      </c>
      <c r="BQ107" s="30">
        <v>51</v>
      </c>
      <c r="BS107" s="30">
        <v>47</v>
      </c>
      <c r="BU107" s="30">
        <v>9</v>
      </c>
      <c r="BW107" s="30">
        <v>54</v>
      </c>
      <c r="CC107" s="30">
        <v>12</v>
      </c>
    </row>
    <row r="108" spans="2:81" x14ac:dyDescent="0.2">
      <c r="B108" s="30">
        <v>5</v>
      </c>
      <c r="D108" s="30">
        <v>48</v>
      </c>
      <c r="F108" s="30">
        <v>17</v>
      </c>
      <c r="G108" s="34"/>
      <c r="H108" s="30">
        <v>45</v>
      </c>
      <c r="J108" s="30">
        <v>57</v>
      </c>
      <c r="L108" s="30">
        <v>55</v>
      </c>
      <c r="N108" s="30">
        <v>61</v>
      </c>
      <c r="P108" s="30">
        <v>32</v>
      </c>
      <c r="R108" s="30">
        <v>58</v>
      </c>
      <c r="T108" s="30">
        <v>56</v>
      </c>
      <c r="V108" s="30">
        <v>79</v>
      </c>
      <c r="W108" s="30" t="s">
        <v>117</v>
      </c>
      <c r="X108" s="30">
        <v>49</v>
      </c>
      <c r="Y108" s="30" t="s">
        <v>117</v>
      </c>
      <c r="AA108" s="30">
        <v>2</v>
      </c>
      <c r="AB108" s="30" t="s">
        <v>117</v>
      </c>
      <c r="AC108" s="30">
        <v>36</v>
      </c>
      <c r="AE108" s="30">
        <v>19</v>
      </c>
      <c r="AG108" s="30">
        <v>73</v>
      </c>
      <c r="AI108" s="30">
        <v>43</v>
      </c>
      <c r="AK108" s="30">
        <v>31</v>
      </c>
      <c r="AM108" s="30">
        <v>23</v>
      </c>
      <c r="AO108" s="30">
        <v>18</v>
      </c>
      <c r="AQ108" s="495">
        <v>66</v>
      </c>
      <c r="AS108" s="30">
        <v>30</v>
      </c>
      <c r="AU108">
        <v>60</v>
      </c>
      <c r="AW108" s="30">
        <v>27</v>
      </c>
      <c r="AY108" s="30">
        <v>27</v>
      </c>
      <c r="BA108" s="30">
        <v>76</v>
      </c>
      <c r="BC108" s="30">
        <v>55</v>
      </c>
      <c r="BE108" s="30">
        <v>37</v>
      </c>
      <c r="BG108" s="30">
        <v>32</v>
      </c>
      <c r="BI108" s="30">
        <v>0</v>
      </c>
      <c r="BK108" s="30">
        <v>65</v>
      </c>
      <c r="BM108" s="769">
        <v>99</v>
      </c>
      <c r="BO108" s="30">
        <v>11</v>
      </c>
      <c r="BQ108" s="30">
        <v>75</v>
      </c>
      <c r="BS108" s="30">
        <v>10</v>
      </c>
      <c r="BU108" s="30">
        <v>51</v>
      </c>
      <c r="BW108" s="30">
        <v>75</v>
      </c>
      <c r="CC108" s="30">
        <v>36</v>
      </c>
    </row>
    <row r="109" spans="2:81" x14ac:dyDescent="0.2">
      <c r="B109" s="30">
        <v>45</v>
      </c>
      <c r="D109" s="30">
        <v>48</v>
      </c>
      <c r="F109" s="30">
        <v>53</v>
      </c>
      <c r="G109" s="34"/>
      <c r="H109" s="30">
        <v>32</v>
      </c>
      <c r="J109" s="30">
        <v>83</v>
      </c>
      <c r="L109" s="30">
        <v>38</v>
      </c>
      <c r="N109" s="30">
        <v>35</v>
      </c>
      <c r="P109" s="30">
        <v>32</v>
      </c>
      <c r="R109" s="30">
        <v>40</v>
      </c>
      <c r="T109" s="30">
        <v>42</v>
      </c>
      <c r="V109" s="30">
        <v>60</v>
      </c>
      <c r="X109" s="30">
        <v>55</v>
      </c>
      <c r="AA109" s="30">
        <v>49</v>
      </c>
      <c r="AC109" s="30">
        <v>65</v>
      </c>
      <c r="AE109" s="30">
        <v>50</v>
      </c>
      <c r="AF109" s="30" t="s">
        <v>117</v>
      </c>
      <c r="AG109" s="30">
        <v>78</v>
      </c>
      <c r="AH109" s="30" t="s">
        <v>117</v>
      </c>
      <c r="AI109" s="30">
        <v>75</v>
      </c>
      <c r="AJ109" s="30" t="s">
        <v>117</v>
      </c>
      <c r="AK109" s="30">
        <v>62</v>
      </c>
      <c r="AL109" s="30" t="s">
        <v>117</v>
      </c>
      <c r="AM109" s="30">
        <v>28</v>
      </c>
      <c r="AO109" s="30">
        <v>12</v>
      </c>
      <c r="AQ109" s="495">
        <v>27</v>
      </c>
      <c r="AS109" s="30">
        <v>68</v>
      </c>
      <c r="AU109">
        <v>42</v>
      </c>
      <c r="AW109" s="30">
        <v>21</v>
      </c>
      <c r="AY109" s="30">
        <v>21</v>
      </c>
      <c r="BA109" s="30">
        <v>86</v>
      </c>
      <c r="BC109" s="30">
        <v>44</v>
      </c>
      <c r="BE109" s="30">
        <v>34</v>
      </c>
      <c r="BG109" s="30">
        <v>34</v>
      </c>
      <c r="BI109" s="30">
        <v>69</v>
      </c>
      <c r="BK109" s="30">
        <v>79</v>
      </c>
      <c r="BM109" s="769">
        <v>41</v>
      </c>
      <c r="BO109" s="30">
        <v>37</v>
      </c>
      <c r="BQ109" s="30">
        <v>6</v>
      </c>
      <c r="BS109" s="30">
        <v>26</v>
      </c>
      <c r="BU109" s="30">
        <v>100</v>
      </c>
      <c r="BW109" s="30">
        <v>42</v>
      </c>
      <c r="CC109" s="30">
        <v>65</v>
      </c>
    </row>
    <row r="110" spans="2:81" x14ac:dyDescent="0.2">
      <c r="B110" s="30">
        <v>54</v>
      </c>
      <c r="D110" s="30">
        <v>82</v>
      </c>
      <c r="F110" s="30">
        <v>11</v>
      </c>
      <c r="G110" s="34"/>
      <c r="H110" s="30">
        <v>76</v>
      </c>
      <c r="J110" s="30">
        <v>70</v>
      </c>
      <c r="L110" s="30">
        <v>87</v>
      </c>
      <c r="N110" s="30">
        <v>32</v>
      </c>
      <c r="P110" s="30">
        <v>32</v>
      </c>
      <c r="R110" s="30">
        <v>27</v>
      </c>
      <c r="T110" s="30">
        <v>33</v>
      </c>
      <c r="V110" s="30">
        <v>28</v>
      </c>
      <c r="X110" s="30">
        <v>27</v>
      </c>
      <c r="AA110" s="30">
        <v>55</v>
      </c>
      <c r="AC110" s="30">
        <v>1</v>
      </c>
      <c r="AE110" s="30">
        <v>20</v>
      </c>
      <c r="AG110" s="30">
        <v>38</v>
      </c>
      <c r="AI110" s="30">
        <v>88</v>
      </c>
      <c r="AK110" s="30">
        <v>59</v>
      </c>
      <c r="AM110" s="30">
        <v>57</v>
      </c>
      <c r="AO110" s="30">
        <v>59</v>
      </c>
      <c r="AQ110" s="495">
        <v>33</v>
      </c>
      <c r="AS110" s="30">
        <v>61</v>
      </c>
      <c r="AU110">
        <v>16</v>
      </c>
      <c r="AW110" s="30">
        <v>10</v>
      </c>
      <c r="AY110" s="30">
        <v>10</v>
      </c>
      <c r="BA110" s="30">
        <v>2</v>
      </c>
      <c r="BC110" s="30">
        <v>20</v>
      </c>
      <c r="BE110" s="30">
        <v>29</v>
      </c>
      <c r="BG110" s="30">
        <v>61</v>
      </c>
      <c r="BI110" s="30">
        <v>29</v>
      </c>
      <c r="BK110" s="30">
        <v>46</v>
      </c>
      <c r="BM110" s="769">
        <v>73</v>
      </c>
      <c r="BO110" s="30">
        <v>9</v>
      </c>
      <c r="BQ110" s="30">
        <v>76</v>
      </c>
      <c r="BS110" s="30">
        <v>8</v>
      </c>
      <c r="BU110" s="30">
        <v>27</v>
      </c>
      <c r="BW110" s="30">
        <v>48</v>
      </c>
      <c r="CC110" s="30">
        <v>44</v>
      </c>
    </row>
    <row r="111" spans="2:81" x14ac:dyDescent="0.2">
      <c r="B111" s="30">
        <v>10</v>
      </c>
      <c r="D111" s="30">
        <v>22</v>
      </c>
      <c r="F111" s="30">
        <v>48</v>
      </c>
      <c r="G111" s="34"/>
      <c r="H111" s="30">
        <v>52</v>
      </c>
      <c r="J111" s="30">
        <v>88</v>
      </c>
      <c r="L111" s="30">
        <v>44</v>
      </c>
      <c r="N111" s="30">
        <v>78</v>
      </c>
      <c r="P111" s="30">
        <v>32</v>
      </c>
      <c r="R111" s="30">
        <v>33</v>
      </c>
      <c r="T111" s="30">
        <v>30</v>
      </c>
      <c r="V111" s="30">
        <v>23</v>
      </c>
      <c r="X111" s="30">
        <v>63</v>
      </c>
      <c r="AA111" s="30">
        <v>27</v>
      </c>
      <c r="AC111" s="30">
        <v>54</v>
      </c>
      <c r="AE111" s="30">
        <v>12</v>
      </c>
      <c r="AG111" s="30">
        <v>32</v>
      </c>
      <c r="AI111" s="30">
        <v>12</v>
      </c>
      <c r="AK111" s="30">
        <v>99</v>
      </c>
      <c r="AL111" s="30" t="s">
        <v>117</v>
      </c>
      <c r="AM111" s="30">
        <v>83</v>
      </c>
      <c r="AO111" s="30">
        <v>69</v>
      </c>
      <c r="AQ111" s="495">
        <v>57</v>
      </c>
      <c r="AS111" s="30">
        <v>10</v>
      </c>
      <c r="AU111">
        <v>21</v>
      </c>
      <c r="AW111" s="30">
        <v>15</v>
      </c>
      <c r="AY111" s="30">
        <v>15</v>
      </c>
      <c r="BA111" s="30">
        <v>16</v>
      </c>
      <c r="BC111" s="30">
        <v>56</v>
      </c>
      <c r="BE111" s="30">
        <v>40</v>
      </c>
      <c r="BG111" s="30">
        <v>51</v>
      </c>
      <c r="BI111" s="30">
        <v>46</v>
      </c>
      <c r="BK111" s="30">
        <v>31</v>
      </c>
      <c r="BM111" s="769">
        <v>25</v>
      </c>
      <c r="BO111" s="30">
        <v>22</v>
      </c>
      <c r="BQ111" s="30">
        <v>45</v>
      </c>
      <c r="BS111" s="30">
        <v>9</v>
      </c>
      <c r="BU111" s="30">
        <v>63</v>
      </c>
      <c r="BW111" s="30">
        <v>12</v>
      </c>
      <c r="CC111" s="30">
        <v>66</v>
      </c>
    </row>
    <row r="112" spans="2:81" x14ac:dyDescent="0.2">
      <c r="B112" s="30">
        <v>17</v>
      </c>
      <c r="D112" s="30">
        <v>77</v>
      </c>
      <c r="F112" s="30">
        <v>88</v>
      </c>
      <c r="G112" s="34"/>
      <c r="H112" s="30">
        <v>38</v>
      </c>
      <c r="J112" s="30">
        <v>80</v>
      </c>
      <c r="L112" s="30">
        <v>16</v>
      </c>
      <c r="N112" s="30">
        <v>55</v>
      </c>
      <c r="P112" s="30">
        <v>32</v>
      </c>
      <c r="R112" s="30">
        <v>22</v>
      </c>
      <c r="T112" s="30">
        <v>36</v>
      </c>
      <c r="V112" s="30">
        <v>14</v>
      </c>
      <c r="X112" s="30">
        <v>19</v>
      </c>
      <c r="AA112" s="30">
        <v>63</v>
      </c>
      <c r="AC112" s="30">
        <v>42</v>
      </c>
      <c r="AE112" s="30">
        <v>28</v>
      </c>
      <c r="AG112" s="30">
        <v>32</v>
      </c>
      <c r="AI112" s="30">
        <v>66</v>
      </c>
      <c r="AK112" s="30">
        <v>69</v>
      </c>
      <c r="AM112" s="30">
        <v>70</v>
      </c>
      <c r="AO112" s="30">
        <v>60</v>
      </c>
      <c r="AQ112" s="495">
        <v>31</v>
      </c>
      <c r="AS112" s="30">
        <v>48</v>
      </c>
      <c r="AU112">
        <v>61</v>
      </c>
      <c r="AW112" s="30">
        <v>12</v>
      </c>
      <c r="AY112" s="30">
        <v>12</v>
      </c>
      <c r="BA112" s="30">
        <v>74</v>
      </c>
      <c r="BC112" s="30">
        <v>71</v>
      </c>
      <c r="BE112" s="30">
        <v>10</v>
      </c>
      <c r="BG112" s="30">
        <v>22</v>
      </c>
      <c r="BI112" s="30">
        <v>95</v>
      </c>
      <c r="BK112" s="30">
        <v>48</v>
      </c>
      <c r="BM112" s="769">
        <v>66</v>
      </c>
      <c r="BO112" s="30">
        <v>78</v>
      </c>
      <c r="BQ112" s="30">
        <v>41</v>
      </c>
      <c r="BS112" s="30">
        <v>38</v>
      </c>
      <c r="BU112" s="30">
        <v>62</v>
      </c>
      <c r="BW112" s="30">
        <v>33</v>
      </c>
      <c r="CC112" s="30">
        <v>44</v>
      </c>
    </row>
    <row r="113" spans="2:81" x14ac:dyDescent="0.2">
      <c r="B113" s="30">
        <v>79</v>
      </c>
      <c r="D113" s="30">
        <v>53</v>
      </c>
      <c r="F113" s="30">
        <v>22</v>
      </c>
      <c r="G113" s="34"/>
      <c r="H113" s="30">
        <v>61</v>
      </c>
      <c r="J113" s="30">
        <v>43</v>
      </c>
      <c r="L113" s="30">
        <v>86</v>
      </c>
      <c r="N113" s="30">
        <v>97</v>
      </c>
      <c r="P113" s="30">
        <v>32</v>
      </c>
      <c r="R113" s="30">
        <v>77</v>
      </c>
      <c r="T113" s="30">
        <v>51</v>
      </c>
      <c r="V113" s="30">
        <v>25</v>
      </c>
      <c r="X113" s="30">
        <v>48</v>
      </c>
      <c r="AA113" s="30">
        <v>19</v>
      </c>
      <c r="AC113" s="30">
        <v>22</v>
      </c>
      <c r="AE113" s="30">
        <v>81</v>
      </c>
      <c r="AG113" s="30">
        <v>72</v>
      </c>
      <c r="AI113" s="30">
        <v>100</v>
      </c>
      <c r="AK113" s="30">
        <v>3</v>
      </c>
      <c r="AM113" s="30">
        <v>74</v>
      </c>
      <c r="AO113" s="30">
        <v>29</v>
      </c>
      <c r="AQ113" s="495">
        <v>83</v>
      </c>
      <c r="AS113" s="30">
        <v>48</v>
      </c>
      <c r="AU113">
        <v>70</v>
      </c>
      <c r="AW113" s="30">
        <v>29</v>
      </c>
      <c r="AY113" s="30">
        <v>29</v>
      </c>
      <c r="BA113" s="30">
        <v>27</v>
      </c>
      <c r="BC113" s="30">
        <v>57</v>
      </c>
      <c r="BE113" s="30">
        <v>92</v>
      </c>
      <c r="BG113" s="30">
        <v>10</v>
      </c>
      <c r="BI113" s="30">
        <v>56</v>
      </c>
      <c r="BK113" s="30">
        <v>62</v>
      </c>
      <c r="BM113" s="769">
        <v>0</v>
      </c>
      <c r="BO113" s="30">
        <v>97</v>
      </c>
      <c r="BQ113" s="30">
        <v>71</v>
      </c>
      <c r="BS113" s="30">
        <v>40</v>
      </c>
      <c r="BU113" s="30">
        <v>86</v>
      </c>
      <c r="BW113" s="30">
        <v>2</v>
      </c>
      <c r="CC113" s="30">
        <v>40</v>
      </c>
    </row>
    <row r="114" spans="2:81" x14ac:dyDescent="0.2">
      <c r="B114" s="30">
        <v>59</v>
      </c>
      <c r="D114" s="30">
        <v>50</v>
      </c>
      <c r="F114" s="30">
        <v>30</v>
      </c>
      <c r="G114" s="34"/>
      <c r="H114" s="30">
        <v>85</v>
      </c>
      <c r="J114" s="30">
        <v>48</v>
      </c>
      <c r="L114" s="30">
        <v>59</v>
      </c>
      <c r="N114" s="30">
        <v>29</v>
      </c>
      <c r="P114" s="30">
        <v>33</v>
      </c>
      <c r="R114" s="30">
        <v>31</v>
      </c>
      <c r="T114" s="30">
        <v>33</v>
      </c>
      <c r="V114" s="30">
        <v>43</v>
      </c>
      <c r="X114" s="30">
        <v>37</v>
      </c>
      <c r="AA114" s="30">
        <v>48</v>
      </c>
      <c r="AC114" s="30">
        <v>36</v>
      </c>
      <c r="AE114" s="30">
        <v>24</v>
      </c>
      <c r="AG114" s="30">
        <v>70</v>
      </c>
      <c r="AI114" s="30">
        <v>54</v>
      </c>
      <c r="AK114" s="30">
        <v>41</v>
      </c>
      <c r="AM114" s="30">
        <v>2</v>
      </c>
      <c r="AO114" s="30">
        <v>27</v>
      </c>
      <c r="AQ114" s="495">
        <v>2</v>
      </c>
      <c r="AS114" s="30">
        <v>31</v>
      </c>
      <c r="AU114">
        <v>87</v>
      </c>
      <c r="AW114" s="30">
        <v>43</v>
      </c>
      <c r="AY114" s="30">
        <v>43</v>
      </c>
      <c r="BA114" s="30">
        <v>38</v>
      </c>
      <c r="BC114" s="30">
        <v>52</v>
      </c>
      <c r="BE114" s="30">
        <v>42</v>
      </c>
      <c r="BG114" s="30">
        <v>9</v>
      </c>
      <c r="BI114" s="30">
        <v>45</v>
      </c>
      <c r="BK114" s="30">
        <v>45</v>
      </c>
      <c r="BM114" s="769">
        <v>36</v>
      </c>
      <c r="BO114" s="30">
        <v>85</v>
      </c>
      <c r="BQ114" s="30">
        <v>64</v>
      </c>
      <c r="BS114" s="30">
        <v>40</v>
      </c>
      <c r="BU114" s="30">
        <v>50</v>
      </c>
      <c r="BW114" s="30">
        <v>22</v>
      </c>
      <c r="CC114" s="30">
        <v>32</v>
      </c>
    </row>
    <row r="115" spans="2:81" x14ac:dyDescent="0.2">
      <c r="B115" s="30">
        <v>10</v>
      </c>
      <c r="D115" s="30">
        <v>95</v>
      </c>
      <c r="F115" s="30">
        <v>25</v>
      </c>
      <c r="G115" s="34"/>
      <c r="H115" s="30">
        <v>77</v>
      </c>
      <c r="J115" s="30">
        <v>78</v>
      </c>
      <c r="L115" s="30">
        <v>46</v>
      </c>
      <c r="N115" s="30">
        <v>40</v>
      </c>
      <c r="P115" s="30">
        <v>33</v>
      </c>
      <c r="R115" s="30">
        <v>63</v>
      </c>
      <c r="T115" s="30">
        <v>66</v>
      </c>
      <c r="V115" s="30">
        <v>14</v>
      </c>
      <c r="X115" s="30">
        <v>69</v>
      </c>
      <c r="AA115" s="30">
        <v>37</v>
      </c>
      <c r="AC115" s="30">
        <v>55</v>
      </c>
      <c r="AE115" s="30">
        <v>39</v>
      </c>
      <c r="AG115" s="30">
        <v>1</v>
      </c>
      <c r="AI115" s="30">
        <v>49</v>
      </c>
      <c r="AK115" s="30">
        <v>79</v>
      </c>
      <c r="AM115" s="30">
        <v>60</v>
      </c>
      <c r="AO115" s="30">
        <v>59</v>
      </c>
      <c r="AQ115" s="495">
        <v>51</v>
      </c>
      <c r="AS115" s="30">
        <v>16</v>
      </c>
      <c r="AU115">
        <v>33</v>
      </c>
      <c r="AW115" s="30">
        <v>6</v>
      </c>
      <c r="AY115" s="30">
        <v>6</v>
      </c>
      <c r="BA115" s="30">
        <v>50</v>
      </c>
      <c r="BC115" s="30">
        <v>43</v>
      </c>
      <c r="BE115" s="30">
        <v>44</v>
      </c>
      <c r="BG115" s="30">
        <v>100</v>
      </c>
      <c r="BI115" s="30">
        <v>62</v>
      </c>
      <c r="BK115" s="30">
        <v>41</v>
      </c>
      <c r="BM115" s="769">
        <v>61</v>
      </c>
      <c r="BO115" s="30">
        <v>10</v>
      </c>
      <c r="BQ115" s="30">
        <v>19</v>
      </c>
      <c r="BS115" s="30">
        <v>20</v>
      </c>
      <c r="BU115" s="30">
        <v>13</v>
      </c>
      <c r="BW115" s="30">
        <v>96</v>
      </c>
      <c r="CC115" s="30">
        <v>10</v>
      </c>
    </row>
    <row r="116" spans="2:81" x14ac:dyDescent="0.2">
      <c r="B116" s="30">
        <v>83</v>
      </c>
      <c r="D116" s="30">
        <v>43</v>
      </c>
      <c r="F116" s="30">
        <v>18</v>
      </c>
      <c r="G116" s="34"/>
      <c r="H116" s="30">
        <v>70</v>
      </c>
      <c r="J116" s="30">
        <v>23</v>
      </c>
      <c r="L116" s="30">
        <v>76</v>
      </c>
      <c r="N116" s="30">
        <v>58</v>
      </c>
      <c r="P116" s="30">
        <v>33</v>
      </c>
      <c r="R116" s="30">
        <v>43</v>
      </c>
      <c r="T116" s="30">
        <v>52</v>
      </c>
      <c r="V116" s="30">
        <v>87</v>
      </c>
      <c r="X116" s="30">
        <v>93</v>
      </c>
      <c r="AA116" s="30">
        <v>69</v>
      </c>
      <c r="AC116" s="30">
        <v>63</v>
      </c>
      <c r="AE116" s="30">
        <v>56</v>
      </c>
      <c r="AG116" s="30">
        <v>52</v>
      </c>
      <c r="AI116" s="30">
        <v>43</v>
      </c>
      <c r="AK116" s="30">
        <v>36</v>
      </c>
      <c r="AM116" s="30">
        <v>79</v>
      </c>
      <c r="AO116" s="30">
        <v>63</v>
      </c>
      <c r="AQ116" s="495">
        <v>52</v>
      </c>
      <c r="AS116" s="30">
        <v>38</v>
      </c>
      <c r="AU116">
        <v>15</v>
      </c>
      <c r="AW116" s="30">
        <v>24</v>
      </c>
      <c r="AY116" s="30">
        <v>24</v>
      </c>
      <c r="BA116" s="30">
        <v>44</v>
      </c>
      <c r="BC116" s="30">
        <v>18</v>
      </c>
      <c r="BE116" s="30">
        <v>13</v>
      </c>
      <c r="BG116" s="30">
        <v>92</v>
      </c>
      <c r="BI116" s="30">
        <v>31</v>
      </c>
      <c r="BK116" s="30">
        <v>18</v>
      </c>
      <c r="BM116" s="769">
        <v>46</v>
      </c>
      <c r="BO116" s="30">
        <v>20</v>
      </c>
      <c r="BQ116" s="30">
        <v>100</v>
      </c>
      <c r="BS116" s="30">
        <v>16</v>
      </c>
      <c r="BU116" s="30">
        <v>53</v>
      </c>
      <c r="BW116" s="30">
        <v>32</v>
      </c>
      <c r="CC116" s="30">
        <v>62</v>
      </c>
    </row>
    <row r="117" spans="2:81" x14ac:dyDescent="0.2">
      <c r="B117" s="30">
        <v>82</v>
      </c>
      <c r="D117" s="30">
        <v>15</v>
      </c>
      <c r="F117" s="30">
        <v>19</v>
      </c>
      <c r="G117" s="34"/>
      <c r="H117" s="30">
        <v>86</v>
      </c>
      <c r="J117" s="30">
        <v>64</v>
      </c>
      <c r="L117" s="30">
        <v>40</v>
      </c>
      <c r="N117" s="30">
        <v>57</v>
      </c>
      <c r="P117" s="30">
        <v>33</v>
      </c>
      <c r="R117" s="30">
        <v>53</v>
      </c>
      <c r="T117" s="30">
        <v>36</v>
      </c>
      <c r="V117" s="30">
        <v>76</v>
      </c>
      <c r="X117" s="30">
        <v>34</v>
      </c>
      <c r="AA117" s="30">
        <v>93</v>
      </c>
      <c r="AC117" s="30">
        <v>34</v>
      </c>
      <c r="AE117" s="30">
        <v>60</v>
      </c>
      <c r="AG117" s="30">
        <v>77</v>
      </c>
      <c r="AI117" s="30">
        <v>29</v>
      </c>
      <c r="AK117" s="30">
        <v>40</v>
      </c>
      <c r="AM117" s="30">
        <v>40</v>
      </c>
      <c r="AO117" s="30">
        <v>40</v>
      </c>
      <c r="AQ117" s="495">
        <v>24</v>
      </c>
      <c r="AS117" s="30">
        <v>76</v>
      </c>
      <c r="AU117">
        <v>68</v>
      </c>
      <c r="AW117" s="30">
        <v>71</v>
      </c>
      <c r="AY117" s="30">
        <v>71</v>
      </c>
      <c r="BA117" s="30">
        <v>22</v>
      </c>
      <c r="BC117" s="30">
        <v>6</v>
      </c>
      <c r="BE117" s="30">
        <v>28</v>
      </c>
      <c r="BG117" s="30">
        <v>42</v>
      </c>
      <c r="BI117" s="30">
        <v>43</v>
      </c>
      <c r="BK117" s="30">
        <v>34</v>
      </c>
      <c r="BM117" s="769">
        <v>21</v>
      </c>
      <c r="BO117" s="30">
        <v>45</v>
      </c>
      <c r="BQ117" s="30">
        <v>63</v>
      </c>
      <c r="BS117" s="30">
        <v>95</v>
      </c>
      <c r="BU117" s="30">
        <v>15</v>
      </c>
      <c r="BW117" s="30">
        <v>96</v>
      </c>
      <c r="CC117" s="30">
        <v>12</v>
      </c>
    </row>
    <row r="118" spans="2:81" x14ac:dyDescent="0.2">
      <c r="B118" s="30">
        <v>34</v>
      </c>
      <c r="D118" s="30">
        <v>16</v>
      </c>
      <c r="F118" s="30">
        <v>54</v>
      </c>
      <c r="G118" s="34"/>
      <c r="H118" s="30">
        <v>45</v>
      </c>
      <c r="J118" s="30">
        <v>69</v>
      </c>
      <c r="L118" s="30">
        <v>29</v>
      </c>
      <c r="N118" s="30">
        <v>17</v>
      </c>
      <c r="P118" s="30">
        <v>33</v>
      </c>
      <c r="R118" s="30">
        <v>28</v>
      </c>
      <c r="T118" s="30">
        <v>21</v>
      </c>
      <c r="V118" s="30">
        <v>52</v>
      </c>
      <c r="X118" s="30">
        <v>65</v>
      </c>
      <c r="AA118" s="30">
        <v>34</v>
      </c>
      <c r="AC118" s="30">
        <v>53</v>
      </c>
      <c r="AE118" s="30">
        <v>20</v>
      </c>
      <c r="AG118" s="30">
        <v>46</v>
      </c>
      <c r="AI118" s="30">
        <v>2</v>
      </c>
      <c r="AK118" s="30">
        <v>34</v>
      </c>
      <c r="AM118" s="30">
        <v>41</v>
      </c>
      <c r="AO118" s="30">
        <v>59</v>
      </c>
      <c r="AQ118" s="495">
        <v>65</v>
      </c>
      <c r="AS118" s="30">
        <v>92</v>
      </c>
      <c r="AU118">
        <v>60</v>
      </c>
      <c r="AW118" s="30">
        <v>9</v>
      </c>
      <c r="AY118" s="30">
        <v>9</v>
      </c>
      <c r="BA118" s="30">
        <v>68</v>
      </c>
      <c r="BC118" s="30">
        <v>39</v>
      </c>
      <c r="BE118" s="30">
        <v>67</v>
      </c>
      <c r="BG118" s="30">
        <v>33</v>
      </c>
      <c r="BI118" s="30">
        <v>68</v>
      </c>
      <c r="BK118" s="30">
        <v>43</v>
      </c>
      <c r="BM118" s="769">
        <v>45</v>
      </c>
      <c r="BO118" s="30">
        <v>9</v>
      </c>
      <c r="BQ118" s="30">
        <v>25</v>
      </c>
      <c r="BS118" s="30">
        <v>22</v>
      </c>
      <c r="BU118" s="30">
        <v>48</v>
      </c>
      <c r="BW118" s="30">
        <v>27</v>
      </c>
      <c r="CC118" s="30">
        <v>46</v>
      </c>
    </row>
    <row r="119" spans="2:81" x14ac:dyDescent="0.2">
      <c r="B119" s="30">
        <v>93</v>
      </c>
      <c r="D119" s="30">
        <v>0</v>
      </c>
      <c r="F119" s="30">
        <v>35</v>
      </c>
      <c r="G119" s="34"/>
      <c r="H119" s="30">
        <v>36</v>
      </c>
      <c r="J119" s="30">
        <v>61</v>
      </c>
      <c r="L119" s="30">
        <v>35</v>
      </c>
      <c r="N119" s="30">
        <v>62</v>
      </c>
      <c r="P119" s="30">
        <v>34</v>
      </c>
      <c r="R119" s="30">
        <v>18</v>
      </c>
      <c r="T119" s="30">
        <v>20</v>
      </c>
      <c r="V119" s="30">
        <v>23</v>
      </c>
      <c r="X119" s="30">
        <v>32</v>
      </c>
      <c r="AA119" s="30">
        <v>65</v>
      </c>
      <c r="AC119" s="30">
        <v>32</v>
      </c>
      <c r="AE119" s="30">
        <v>15</v>
      </c>
      <c r="AG119" s="30">
        <v>34</v>
      </c>
      <c r="AI119" s="30">
        <v>36</v>
      </c>
      <c r="AK119" s="30">
        <v>19</v>
      </c>
      <c r="AM119" s="30">
        <v>56</v>
      </c>
      <c r="AO119" s="30">
        <v>43</v>
      </c>
      <c r="AQ119" s="495">
        <v>55</v>
      </c>
      <c r="AS119" s="30">
        <v>75</v>
      </c>
      <c r="AU119">
        <v>80</v>
      </c>
      <c r="AW119" s="30">
        <v>6</v>
      </c>
      <c r="AY119" s="30">
        <v>6</v>
      </c>
      <c r="BA119" s="30">
        <v>62</v>
      </c>
      <c r="BC119" s="30">
        <v>56</v>
      </c>
      <c r="BE119" s="30">
        <v>6</v>
      </c>
      <c r="BG119" s="30">
        <v>22</v>
      </c>
      <c r="BI119" s="30">
        <v>79</v>
      </c>
      <c r="BK119" s="30">
        <v>11</v>
      </c>
      <c r="BM119" s="769">
        <v>7</v>
      </c>
      <c r="BO119" s="30">
        <v>4</v>
      </c>
      <c r="BQ119" s="30">
        <v>51</v>
      </c>
      <c r="BS119" s="30">
        <v>74</v>
      </c>
      <c r="BU119" s="30">
        <v>27</v>
      </c>
      <c r="BW119" s="30">
        <v>41</v>
      </c>
      <c r="CC119" s="30">
        <v>40</v>
      </c>
    </row>
    <row r="120" spans="2:81" x14ac:dyDescent="0.2">
      <c r="B120" s="30">
        <v>74</v>
      </c>
      <c r="D120" s="30">
        <v>21</v>
      </c>
      <c r="F120" s="30">
        <v>55</v>
      </c>
      <c r="G120" s="34"/>
      <c r="H120" s="30">
        <v>58</v>
      </c>
      <c r="J120" s="30">
        <v>64</v>
      </c>
      <c r="L120" s="30">
        <v>25</v>
      </c>
      <c r="N120" s="30">
        <v>59</v>
      </c>
      <c r="P120" s="30">
        <v>34</v>
      </c>
      <c r="R120" s="30">
        <v>76</v>
      </c>
      <c r="T120" s="30">
        <v>72</v>
      </c>
      <c r="V120" s="30">
        <v>11</v>
      </c>
      <c r="X120" s="30">
        <v>26</v>
      </c>
      <c r="AA120" s="30">
        <v>32</v>
      </c>
      <c r="AC120" s="30">
        <v>13</v>
      </c>
      <c r="AE120" s="30">
        <v>70</v>
      </c>
      <c r="AG120" s="30">
        <v>32</v>
      </c>
      <c r="AI120" s="30">
        <v>66</v>
      </c>
      <c r="AK120" s="30">
        <v>1</v>
      </c>
      <c r="AM120" s="30">
        <v>29</v>
      </c>
      <c r="AO120" s="30">
        <v>28</v>
      </c>
      <c r="AQ120" s="495">
        <v>2</v>
      </c>
      <c r="AS120" s="30">
        <v>49</v>
      </c>
      <c r="AU120">
        <v>0</v>
      </c>
      <c r="AW120" s="30">
        <v>17</v>
      </c>
      <c r="AY120" s="30">
        <v>17</v>
      </c>
      <c r="BA120" s="30">
        <v>47</v>
      </c>
      <c r="BC120" s="30">
        <v>36</v>
      </c>
      <c r="BE120" s="30">
        <v>30</v>
      </c>
      <c r="BG120" s="30">
        <v>37</v>
      </c>
      <c r="BI120" s="30">
        <v>71</v>
      </c>
      <c r="BK120" s="30">
        <v>41</v>
      </c>
      <c r="BM120" s="769">
        <v>27</v>
      </c>
      <c r="BO120" s="30">
        <v>93</v>
      </c>
      <c r="BQ120" s="30">
        <v>24</v>
      </c>
      <c r="BS120" s="30">
        <v>26</v>
      </c>
      <c r="BU120" s="30">
        <v>19</v>
      </c>
      <c r="BW120" s="30">
        <v>69</v>
      </c>
      <c r="CC120" s="30">
        <v>30</v>
      </c>
    </row>
    <row r="121" spans="2:81" x14ac:dyDescent="0.2">
      <c r="B121" s="30">
        <v>97</v>
      </c>
      <c r="D121" s="30">
        <v>8</v>
      </c>
      <c r="F121" s="30">
        <v>11</v>
      </c>
      <c r="G121" s="34"/>
      <c r="H121" s="30">
        <v>38</v>
      </c>
      <c r="J121" s="30">
        <v>67</v>
      </c>
      <c r="L121" s="30">
        <v>37</v>
      </c>
      <c r="N121" s="30">
        <v>44</v>
      </c>
      <c r="P121" s="30">
        <v>34</v>
      </c>
      <c r="R121" s="30">
        <v>56</v>
      </c>
      <c r="T121" s="30">
        <v>15</v>
      </c>
      <c r="V121" s="30">
        <v>45</v>
      </c>
      <c r="X121" s="30">
        <v>13</v>
      </c>
      <c r="AA121" s="30">
        <v>26</v>
      </c>
      <c r="AC121" s="30">
        <v>16</v>
      </c>
      <c r="AE121" s="30">
        <v>47</v>
      </c>
      <c r="AG121" s="30">
        <v>31</v>
      </c>
      <c r="AI121" s="30">
        <v>36</v>
      </c>
      <c r="AK121" s="30">
        <v>24</v>
      </c>
      <c r="AM121" s="30">
        <v>3</v>
      </c>
      <c r="AO121" s="30">
        <v>42</v>
      </c>
      <c r="AQ121" s="495">
        <v>16</v>
      </c>
      <c r="AS121" s="30">
        <v>68</v>
      </c>
      <c r="AU121">
        <v>58</v>
      </c>
      <c r="AW121" s="30">
        <v>44</v>
      </c>
      <c r="AY121" s="30">
        <v>44</v>
      </c>
      <c r="BA121" s="30">
        <v>96</v>
      </c>
      <c r="BC121" s="30">
        <v>30</v>
      </c>
      <c r="BE121" s="30">
        <v>100</v>
      </c>
      <c r="BG121" s="30">
        <v>23</v>
      </c>
      <c r="BI121" s="30">
        <v>54</v>
      </c>
      <c r="BK121" s="30">
        <v>77</v>
      </c>
      <c r="BM121" s="769">
        <v>31</v>
      </c>
      <c r="BO121" s="30">
        <v>49</v>
      </c>
      <c r="BQ121" s="30">
        <v>57</v>
      </c>
      <c r="BS121" s="30">
        <v>67</v>
      </c>
      <c r="BU121" s="30">
        <v>39</v>
      </c>
      <c r="BW121" s="30">
        <v>52</v>
      </c>
      <c r="CC121" s="30">
        <v>2</v>
      </c>
    </row>
    <row r="122" spans="2:81" x14ac:dyDescent="0.2">
      <c r="B122" s="30">
        <v>71</v>
      </c>
      <c r="D122" s="30">
        <v>91</v>
      </c>
      <c r="F122" s="30">
        <v>58</v>
      </c>
      <c r="G122" s="34"/>
      <c r="H122" s="30">
        <v>88</v>
      </c>
      <c r="J122" s="30">
        <v>54</v>
      </c>
      <c r="L122" s="30">
        <v>37</v>
      </c>
      <c r="N122" s="30">
        <v>65</v>
      </c>
      <c r="P122" s="30">
        <v>34</v>
      </c>
      <c r="R122" s="30">
        <v>7</v>
      </c>
      <c r="T122" s="30">
        <v>70</v>
      </c>
      <c r="V122" s="30">
        <v>50</v>
      </c>
      <c r="X122" s="30">
        <v>52</v>
      </c>
      <c r="AA122" s="30">
        <v>13</v>
      </c>
      <c r="AC122" s="30">
        <v>72</v>
      </c>
      <c r="AE122" s="30">
        <v>36</v>
      </c>
      <c r="AG122" s="30">
        <v>1</v>
      </c>
      <c r="AI122" s="30">
        <v>0</v>
      </c>
      <c r="AK122" s="30">
        <v>52</v>
      </c>
      <c r="AM122" s="30">
        <v>18</v>
      </c>
      <c r="AO122" s="30">
        <v>40</v>
      </c>
      <c r="AQ122" s="495">
        <v>57</v>
      </c>
      <c r="AS122" s="30">
        <v>0</v>
      </c>
      <c r="AU122">
        <v>46</v>
      </c>
      <c r="AW122" s="30">
        <v>25</v>
      </c>
      <c r="AY122" s="30">
        <v>25</v>
      </c>
      <c r="BA122" s="30">
        <v>87</v>
      </c>
      <c r="BC122" s="30">
        <v>47</v>
      </c>
      <c r="BE122" s="30">
        <v>20</v>
      </c>
      <c r="BG122" s="30">
        <v>37</v>
      </c>
      <c r="BI122" s="30">
        <v>48</v>
      </c>
      <c r="BK122" s="30">
        <v>57</v>
      </c>
      <c r="BM122" s="769">
        <v>18</v>
      </c>
      <c r="BO122" s="30">
        <v>12</v>
      </c>
      <c r="BQ122" s="30">
        <v>35</v>
      </c>
      <c r="BS122" s="30">
        <v>28</v>
      </c>
      <c r="BU122" s="30">
        <v>36</v>
      </c>
      <c r="BW122" s="30">
        <v>26</v>
      </c>
      <c r="CC122" s="30">
        <v>46</v>
      </c>
    </row>
    <row r="123" spans="2:81" x14ac:dyDescent="0.2">
      <c r="B123" s="30">
        <v>89</v>
      </c>
      <c r="D123" s="30">
        <v>33</v>
      </c>
      <c r="F123" s="30">
        <v>47</v>
      </c>
      <c r="G123" s="34"/>
      <c r="H123" s="30">
        <v>86</v>
      </c>
      <c r="J123" s="30">
        <v>36</v>
      </c>
      <c r="L123" s="30">
        <v>43</v>
      </c>
      <c r="N123" s="30">
        <v>20</v>
      </c>
      <c r="P123" s="30">
        <v>35</v>
      </c>
      <c r="R123" s="30">
        <v>37</v>
      </c>
      <c r="T123" s="30">
        <v>12</v>
      </c>
      <c r="V123" s="30">
        <v>35</v>
      </c>
      <c r="X123" s="30">
        <v>41</v>
      </c>
      <c r="AA123" s="30">
        <v>52</v>
      </c>
      <c r="AC123" s="30">
        <v>41</v>
      </c>
      <c r="AE123" s="30">
        <v>7</v>
      </c>
      <c r="AG123" s="30">
        <v>30</v>
      </c>
      <c r="AI123" s="30">
        <v>65</v>
      </c>
      <c r="AK123" s="30">
        <v>24</v>
      </c>
      <c r="AM123" s="30">
        <v>55</v>
      </c>
      <c r="AO123" s="30">
        <v>76</v>
      </c>
      <c r="AQ123" s="495">
        <v>37</v>
      </c>
      <c r="AS123" s="30">
        <v>50</v>
      </c>
      <c r="AU123">
        <v>55</v>
      </c>
      <c r="AW123" s="30">
        <v>42</v>
      </c>
      <c r="AY123" s="30">
        <v>42</v>
      </c>
      <c r="BA123" s="30">
        <v>56</v>
      </c>
      <c r="BC123" s="30">
        <v>54</v>
      </c>
      <c r="BE123" s="30">
        <v>39</v>
      </c>
      <c r="BG123" s="30">
        <v>5</v>
      </c>
      <c r="BI123" s="30">
        <v>56</v>
      </c>
      <c r="BK123" s="30">
        <v>18</v>
      </c>
      <c r="BM123" s="769">
        <v>14</v>
      </c>
      <c r="BO123" s="30">
        <v>14</v>
      </c>
      <c r="BQ123" s="30">
        <v>27</v>
      </c>
      <c r="BS123" s="30">
        <v>75</v>
      </c>
      <c r="BU123" s="30">
        <v>17</v>
      </c>
      <c r="BW123" s="30">
        <v>51</v>
      </c>
      <c r="CC123" s="30">
        <v>6</v>
      </c>
    </row>
    <row r="124" spans="2:81" x14ac:dyDescent="0.2">
      <c r="B124" s="30">
        <v>98</v>
      </c>
      <c r="D124" s="30">
        <v>23</v>
      </c>
      <c r="F124" s="30">
        <v>37</v>
      </c>
      <c r="G124" s="34"/>
      <c r="H124" s="30">
        <v>61</v>
      </c>
      <c r="J124" s="30">
        <v>26</v>
      </c>
      <c r="L124" s="30">
        <v>98</v>
      </c>
      <c r="N124" s="30">
        <v>0</v>
      </c>
      <c r="P124" s="30">
        <v>35</v>
      </c>
      <c r="R124" s="30">
        <v>38</v>
      </c>
      <c r="T124" s="30">
        <v>29</v>
      </c>
      <c r="V124" s="30">
        <v>41</v>
      </c>
      <c r="X124" s="30">
        <v>26</v>
      </c>
      <c r="AA124" s="30">
        <v>41</v>
      </c>
      <c r="AC124" s="30">
        <v>30</v>
      </c>
      <c r="AE124" s="30">
        <v>64</v>
      </c>
      <c r="AG124" s="30">
        <v>52</v>
      </c>
      <c r="AI124" s="30">
        <v>44</v>
      </c>
      <c r="AK124" s="30">
        <v>0</v>
      </c>
      <c r="AM124" s="30">
        <v>0</v>
      </c>
      <c r="AO124" s="30">
        <v>2</v>
      </c>
      <c r="AQ124" s="495">
        <v>0</v>
      </c>
      <c r="AS124" s="30">
        <v>12</v>
      </c>
      <c r="AU124">
        <v>49</v>
      </c>
      <c r="AW124" s="30">
        <v>2</v>
      </c>
      <c r="AY124" s="30">
        <v>2</v>
      </c>
      <c r="BA124" s="30">
        <v>30</v>
      </c>
      <c r="BC124" s="30">
        <v>66</v>
      </c>
      <c r="BE124" s="30">
        <v>21</v>
      </c>
      <c r="BG124" s="30">
        <v>80</v>
      </c>
      <c r="BI124" s="30">
        <v>52</v>
      </c>
      <c r="BK124" s="30">
        <v>93</v>
      </c>
      <c r="BM124" s="769">
        <v>39</v>
      </c>
      <c r="BO124" s="30">
        <v>20</v>
      </c>
      <c r="BQ124" s="30">
        <v>55</v>
      </c>
      <c r="BS124" s="30">
        <v>57</v>
      </c>
      <c r="BU124" s="30">
        <v>18</v>
      </c>
      <c r="BW124" s="30">
        <v>96</v>
      </c>
      <c r="CC124" s="30">
        <v>70</v>
      </c>
    </row>
    <row r="125" spans="2:81" x14ac:dyDescent="0.2">
      <c r="B125" s="30">
        <v>52</v>
      </c>
      <c r="D125" s="30">
        <v>44</v>
      </c>
      <c r="F125" s="30">
        <v>68</v>
      </c>
      <c r="G125" s="34"/>
      <c r="H125" s="30">
        <v>40</v>
      </c>
      <c r="J125" s="30">
        <v>17</v>
      </c>
      <c r="L125" s="30">
        <v>59</v>
      </c>
      <c r="N125" s="30">
        <v>52</v>
      </c>
      <c r="P125" s="30">
        <v>36</v>
      </c>
      <c r="R125" s="30">
        <v>60</v>
      </c>
      <c r="T125" s="30">
        <v>37</v>
      </c>
      <c r="V125" s="30">
        <v>65</v>
      </c>
      <c r="X125" s="30">
        <v>92</v>
      </c>
      <c r="AA125" s="30">
        <v>26</v>
      </c>
      <c r="AC125" s="30">
        <v>23</v>
      </c>
      <c r="AE125" s="30">
        <v>51</v>
      </c>
      <c r="AG125" s="30">
        <v>40</v>
      </c>
      <c r="AI125" s="30">
        <v>28</v>
      </c>
      <c r="AK125" s="30">
        <v>51</v>
      </c>
      <c r="AM125" s="30">
        <v>56</v>
      </c>
      <c r="AO125" s="30">
        <v>15</v>
      </c>
      <c r="AQ125" s="495">
        <v>58</v>
      </c>
      <c r="AS125" s="30">
        <v>8</v>
      </c>
      <c r="AU125">
        <v>7</v>
      </c>
      <c r="AW125" s="30">
        <v>60</v>
      </c>
      <c r="AY125" s="30">
        <v>60</v>
      </c>
      <c r="BA125" s="30">
        <v>15</v>
      </c>
      <c r="BC125" s="30">
        <v>72</v>
      </c>
      <c r="BE125" s="30">
        <v>7</v>
      </c>
      <c r="BG125" s="30">
        <v>43</v>
      </c>
      <c r="BI125" s="30">
        <v>54</v>
      </c>
      <c r="BK125" s="30">
        <v>23</v>
      </c>
      <c r="BM125" s="769">
        <v>7</v>
      </c>
      <c r="BO125" s="30">
        <v>47</v>
      </c>
      <c r="BQ125" s="30">
        <v>75</v>
      </c>
      <c r="BS125" s="30">
        <v>89</v>
      </c>
      <c r="BU125" s="30">
        <v>25</v>
      </c>
      <c r="BW125" s="30">
        <v>87</v>
      </c>
      <c r="CC125" s="30">
        <v>38</v>
      </c>
    </row>
    <row r="126" spans="2:81" x14ac:dyDescent="0.2">
      <c r="B126" s="30">
        <v>9</v>
      </c>
      <c r="D126" s="30">
        <v>17</v>
      </c>
      <c r="F126" s="30">
        <v>30</v>
      </c>
      <c r="G126" s="34"/>
      <c r="H126" s="30">
        <v>62</v>
      </c>
      <c r="J126" s="30">
        <v>15</v>
      </c>
      <c r="L126" s="30">
        <v>37</v>
      </c>
      <c r="N126" s="30">
        <v>6</v>
      </c>
      <c r="P126" s="30">
        <v>36</v>
      </c>
      <c r="R126" s="30">
        <v>39</v>
      </c>
      <c r="T126" s="30">
        <v>51</v>
      </c>
      <c r="V126" s="30">
        <v>20</v>
      </c>
      <c r="X126" s="30">
        <v>68</v>
      </c>
      <c r="AA126" s="30">
        <v>92</v>
      </c>
      <c r="AC126" s="30">
        <v>69</v>
      </c>
      <c r="AE126" s="30">
        <v>16</v>
      </c>
      <c r="AG126" s="30">
        <v>0</v>
      </c>
      <c r="AI126" s="30">
        <v>91</v>
      </c>
      <c r="AK126" s="30">
        <v>41</v>
      </c>
      <c r="AM126" s="30">
        <v>42</v>
      </c>
      <c r="AO126" s="30">
        <v>80</v>
      </c>
      <c r="AQ126" s="495">
        <v>50</v>
      </c>
      <c r="AS126" s="30">
        <v>88</v>
      </c>
      <c r="AU126">
        <v>96</v>
      </c>
      <c r="AW126" s="30">
        <v>45</v>
      </c>
      <c r="AY126" s="30">
        <v>45</v>
      </c>
      <c r="BA126" s="30">
        <v>15</v>
      </c>
      <c r="BC126" s="30">
        <v>14</v>
      </c>
      <c r="BE126" s="30">
        <v>35</v>
      </c>
      <c r="BG126" s="30">
        <v>19</v>
      </c>
      <c r="BI126" s="30">
        <v>10</v>
      </c>
      <c r="BK126" s="30">
        <v>95</v>
      </c>
      <c r="BM126" s="769">
        <v>44</v>
      </c>
      <c r="BO126" s="30">
        <v>34</v>
      </c>
      <c r="BQ126" s="30">
        <v>44</v>
      </c>
      <c r="BS126" s="30">
        <v>81</v>
      </c>
      <c r="BU126" s="30">
        <v>58</v>
      </c>
      <c r="BW126" s="30">
        <v>70</v>
      </c>
      <c r="CC126" s="30">
        <v>77</v>
      </c>
    </row>
    <row r="127" spans="2:81" x14ac:dyDescent="0.2">
      <c r="B127" s="30">
        <v>40</v>
      </c>
      <c r="D127" s="30">
        <v>55</v>
      </c>
      <c r="F127" s="30">
        <v>72</v>
      </c>
      <c r="G127" s="34"/>
      <c r="H127" s="30">
        <v>70</v>
      </c>
      <c r="J127" s="30">
        <v>25</v>
      </c>
      <c r="L127" s="30">
        <v>34</v>
      </c>
      <c r="N127" s="30">
        <v>61</v>
      </c>
      <c r="P127" s="30">
        <v>36</v>
      </c>
      <c r="R127" s="30">
        <v>18</v>
      </c>
      <c r="T127" s="30">
        <v>30</v>
      </c>
      <c r="V127" s="30">
        <v>11</v>
      </c>
      <c r="X127" s="30">
        <v>48</v>
      </c>
      <c r="AA127" s="30">
        <v>68</v>
      </c>
      <c r="AC127" s="30">
        <v>61</v>
      </c>
      <c r="AE127" s="30">
        <v>33</v>
      </c>
      <c r="AG127" s="30">
        <v>45</v>
      </c>
      <c r="AI127" s="30">
        <v>91</v>
      </c>
      <c r="AK127" s="30">
        <v>20</v>
      </c>
      <c r="AM127" s="30">
        <v>17</v>
      </c>
      <c r="AO127" s="30">
        <v>44</v>
      </c>
      <c r="AQ127" s="495">
        <v>26</v>
      </c>
      <c r="AS127" s="30">
        <v>15</v>
      </c>
      <c r="AU127">
        <v>72</v>
      </c>
      <c r="AW127" s="30">
        <v>27</v>
      </c>
      <c r="AY127" s="30">
        <v>27</v>
      </c>
      <c r="BA127" s="30">
        <v>3</v>
      </c>
      <c r="BC127" s="30">
        <v>40</v>
      </c>
      <c r="BE127" s="30">
        <v>45</v>
      </c>
      <c r="BG127" s="30">
        <v>41</v>
      </c>
      <c r="BI127" s="30">
        <v>78</v>
      </c>
      <c r="BK127" s="30">
        <v>98</v>
      </c>
      <c r="BM127" s="769">
        <v>44</v>
      </c>
      <c r="BO127" s="30">
        <v>26</v>
      </c>
      <c r="BQ127" s="30">
        <v>69</v>
      </c>
      <c r="BS127" s="30">
        <v>3</v>
      </c>
      <c r="BU127" s="30">
        <v>66</v>
      </c>
      <c r="BW127" s="30">
        <v>46</v>
      </c>
      <c r="CC127" s="30">
        <v>51</v>
      </c>
    </row>
    <row r="128" spans="2:81" x14ac:dyDescent="0.2">
      <c r="B128" s="30">
        <v>64</v>
      </c>
      <c r="D128" s="30">
        <v>17</v>
      </c>
      <c r="F128" s="30">
        <v>59</v>
      </c>
      <c r="G128" s="34"/>
      <c r="H128" s="30">
        <v>64</v>
      </c>
      <c r="J128" s="30">
        <v>62</v>
      </c>
      <c r="L128" s="30">
        <v>20</v>
      </c>
      <c r="N128" s="30">
        <v>39</v>
      </c>
      <c r="P128" s="30">
        <v>36</v>
      </c>
      <c r="R128" s="30">
        <v>56</v>
      </c>
      <c r="T128" s="30">
        <v>13</v>
      </c>
      <c r="V128" s="30">
        <v>20</v>
      </c>
      <c r="X128" s="30">
        <v>27</v>
      </c>
      <c r="AA128" s="30">
        <v>48</v>
      </c>
      <c r="AC128" s="30">
        <v>47</v>
      </c>
      <c r="AE128" s="30">
        <v>52</v>
      </c>
      <c r="AG128" s="30">
        <v>36</v>
      </c>
      <c r="AI128" s="30">
        <v>5</v>
      </c>
      <c r="AK128" s="30">
        <v>77</v>
      </c>
      <c r="AM128" s="30">
        <v>91</v>
      </c>
      <c r="AO128" s="30">
        <v>30</v>
      </c>
      <c r="AQ128" s="495">
        <v>89</v>
      </c>
      <c r="AS128" s="30">
        <v>17</v>
      </c>
      <c r="AU128">
        <v>0</v>
      </c>
      <c r="AW128" s="30">
        <v>71</v>
      </c>
      <c r="AY128" s="30">
        <v>71</v>
      </c>
      <c r="BA128" s="30">
        <v>10</v>
      </c>
      <c r="BC128" s="30">
        <v>22</v>
      </c>
      <c r="BE128" s="30">
        <v>41</v>
      </c>
      <c r="BG128" s="30">
        <v>26</v>
      </c>
      <c r="BI128" s="30">
        <v>46</v>
      </c>
      <c r="BK128" s="30">
        <v>68</v>
      </c>
      <c r="BM128" s="769">
        <v>90</v>
      </c>
      <c r="BO128" s="30">
        <v>7</v>
      </c>
      <c r="BQ128" s="30">
        <v>54</v>
      </c>
      <c r="BS128" s="30">
        <v>38</v>
      </c>
      <c r="BU128" s="30">
        <v>18</v>
      </c>
      <c r="BW128" s="30">
        <v>28</v>
      </c>
      <c r="CC128" s="30">
        <v>3</v>
      </c>
    </row>
    <row r="129" spans="2:81" x14ac:dyDescent="0.2">
      <c r="B129" s="30">
        <v>36</v>
      </c>
      <c r="D129" s="30">
        <v>96</v>
      </c>
      <c r="F129" s="30">
        <v>66</v>
      </c>
      <c r="G129" s="34"/>
      <c r="H129" s="30">
        <v>97</v>
      </c>
      <c r="J129" s="30">
        <v>89</v>
      </c>
      <c r="L129" s="30">
        <v>51</v>
      </c>
      <c r="N129" s="30">
        <v>84</v>
      </c>
      <c r="P129" s="30">
        <v>36</v>
      </c>
      <c r="R129" s="30">
        <v>56</v>
      </c>
      <c r="T129" s="30">
        <v>48</v>
      </c>
      <c r="V129" s="30">
        <v>33</v>
      </c>
      <c r="X129" s="30">
        <v>18</v>
      </c>
      <c r="AA129" s="30">
        <v>27</v>
      </c>
      <c r="AC129" s="30">
        <v>16</v>
      </c>
      <c r="AE129" s="30">
        <v>16</v>
      </c>
      <c r="AG129" s="30">
        <v>19</v>
      </c>
      <c r="AI129" s="30">
        <v>91</v>
      </c>
      <c r="AK129" s="30">
        <v>67</v>
      </c>
      <c r="AM129" s="30">
        <v>82</v>
      </c>
      <c r="AO129" s="30">
        <v>40</v>
      </c>
      <c r="AQ129" s="495">
        <v>81</v>
      </c>
      <c r="AS129" s="30">
        <v>0</v>
      </c>
      <c r="AU129">
        <v>9</v>
      </c>
      <c r="AW129" s="30">
        <v>29</v>
      </c>
      <c r="AY129" s="30">
        <v>29</v>
      </c>
      <c r="BA129" s="30">
        <v>7</v>
      </c>
      <c r="BC129" s="30">
        <v>37</v>
      </c>
      <c r="BE129" s="30">
        <v>29</v>
      </c>
      <c r="BG129" s="30">
        <v>42</v>
      </c>
      <c r="BI129" s="30">
        <v>8</v>
      </c>
      <c r="BK129" s="30">
        <v>14</v>
      </c>
      <c r="BM129" s="769">
        <v>86</v>
      </c>
      <c r="BO129" s="30">
        <v>21</v>
      </c>
      <c r="BQ129" s="30">
        <v>23</v>
      </c>
      <c r="BS129" s="30">
        <v>41</v>
      </c>
      <c r="BU129" s="30">
        <v>46</v>
      </c>
      <c r="BW129" s="30">
        <v>98</v>
      </c>
      <c r="CC129" s="30">
        <v>0</v>
      </c>
    </row>
    <row r="130" spans="2:81" x14ac:dyDescent="0.2">
      <c r="B130" s="30">
        <v>82</v>
      </c>
      <c r="D130" s="30">
        <v>24</v>
      </c>
      <c r="F130" s="30">
        <v>71</v>
      </c>
      <c r="G130" s="34"/>
      <c r="H130" s="30">
        <v>90</v>
      </c>
      <c r="J130" s="30">
        <v>12</v>
      </c>
      <c r="L130" s="30">
        <v>33</v>
      </c>
      <c r="N130" s="30">
        <v>60</v>
      </c>
      <c r="P130" s="30">
        <v>37</v>
      </c>
      <c r="R130" s="30">
        <v>60</v>
      </c>
      <c r="T130" s="30">
        <v>58</v>
      </c>
      <c r="V130" s="30">
        <v>21</v>
      </c>
      <c r="X130" s="30">
        <v>34</v>
      </c>
      <c r="AA130" s="30">
        <v>18</v>
      </c>
      <c r="AC130" s="30">
        <v>45</v>
      </c>
      <c r="AE130" s="30">
        <v>12</v>
      </c>
      <c r="AG130" s="30">
        <v>31</v>
      </c>
      <c r="AI130" s="30">
        <v>89</v>
      </c>
      <c r="AK130" s="30">
        <v>42</v>
      </c>
      <c r="AM130" s="30">
        <v>35</v>
      </c>
      <c r="AO130" s="30">
        <v>17</v>
      </c>
      <c r="AQ130" s="495">
        <v>52</v>
      </c>
      <c r="AS130" s="30">
        <v>0</v>
      </c>
      <c r="AU130">
        <v>78</v>
      </c>
      <c r="AW130" s="30">
        <v>14</v>
      </c>
      <c r="AY130" s="30">
        <v>14</v>
      </c>
      <c r="BA130" s="30">
        <v>7</v>
      </c>
      <c r="BC130" s="30">
        <v>13</v>
      </c>
      <c r="BE130" s="30">
        <v>30</v>
      </c>
      <c r="BG130" s="30">
        <v>56</v>
      </c>
      <c r="BI130" s="30">
        <v>7</v>
      </c>
      <c r="BK130" s="30">
        <v>35</v>
      </c>
      <c r="BM130" s="769">
        <v>5</v>
      </c>
      <c r="BO130" s="30">
        <v>9</v>
      </c>
      <c r="BQ130" s="30">
        <v>41</v>
      </c>
      <c r="BS130" s="30">
        <v>65</v>
      </c>
      <c r="BU130" s="30">
        <v>62</v>
      </c>
      <c r="BW130" s="30">
        <v>53</v>
      </c>
      <c r="CC130" s="30">
        <v>63</v>
      </c>
    </row>
    <row r="131" spans="2:81" x14ac:dyDescent="0.2">
      <c r="B131" s="30">
        <v>68</v>
      </c>
      <c r="D131" s="30">
        <v>33</v>
      </c>
      <c r="F131" s="30">
        <v>86</v>
      </c>
      <c r="G131" s="34"/>
      <c r="H131" s="30">
        <v>43</v>
      </c>
      <c r="J131" s="30">
        <v>66</v>
      </c>
      <c r="L131" s="30">
        <v>72</v>
      </c>
      <c r="N131" s="30">
        <v>34</v>
      </c>
      <c r="P131" s="30">
        <v>38</v>
      </c>
      <c r="R131" s="30">
        <v>23</v>
      </c>
      <c r="T131" s="30">
        <v>56</v>
      </c>
      <c r="V131" s="30">
        <v>9</v>
      </c>
      <c r="X131" s="30">
        <v>49</v>
      </c>
      <c r="AA131" s="30">
        <v>34</v>
      </c>
      <c r="AC131" s="30">
        <v>36</v>
      </c>
      <c r="AE131" s="30">
        <v>28</v>
      </c>
      <c r="AG131" s="30">
        <v>58</v>
      </c>
      <c r="AI131" s="30">
        <v>74</v>
      </c>
      <c r="AK131" s="30">
        <v>17</v>
      </c>
      <c r="AM131" s="30">
        <v>7</v>
      </c>
      <c r="AO131" s="30">
        <v>16</v>
      </c>
      <c r="AQ131" s="495">
        <v>21</v>
      </c>
      <c r="AS131" s="30">
        <v>13</v>
      </c>
      <c r="AU131">
        <v>44</v>
      </c>
      <c r="AW131" s="30">
        <v>71</v>
      </c>
      <c r="AY131" s="30">
        <v>71</v>
      </c>
      <c r="BA131" s="30">
        <v>10</v>
      </c>
      <c r="BC131" s="30">
        <v>1</v>
      </c>
      <c r="BE131" s="30">
        <v>14</v>
      </c>
      <c r="BG131" s="30">
        <v>84</v>
      </c>
      <c r="BI131" s="30">
        <v>15</v>
      </c>
      <c r="BK131" s="30">
        <v>17</v>
      </c>
      <c r="BM131" s="769">
        <v>6</v>
      </c>
      <c r="BO131" s="30">
        <v>22</v>
      </c>
      <c r="BQ131" s="30">
        <v>33</v>
      </c>
      <c r="BS131" s="30">
        <v>38</v>
      </c>
      <c r="BU131" s="30">
        <v>79</v>
      </c>
      <c r="BW131" s="30">
        <v>48</v>
      </c>
      <c r="CC131" s="30">
        <v>81</v>
      </c>
    </row>
    <row r="132" spans="2:81" x14ac:dyDescent="0.2">
      <c r="B132" s="30">
        <v>51</v>
      </c>
      <c r="D132" s="30">
        <v>64</v>
      </c>
      <c r="F132" s="30">
        <v>87</v>
      </c>
      <c r="G132" s="34"/>
      <c r="H132" s="30">
        <v>52</v>
      </c>
      <c r="J132" s="30">
        <v>45</v>
      </c>
      <c r="L132" s="30">
        <v>31</v>
      </c>
      <c r="N132" s="30">
        <v>75</v>
      </c>
      <c r="P132" s="30">
        <v>39</v>
      </c>
      <c r="R132" s="30">
        <v>53</v>
      </c>
      <c r="T132" s="30">
        <v>25</v>
      </c>
      <c r="V132" s="30">
        <v>53</v>
      </c>
      <c r="X132" s="30">
        <v>44</v>
      </c>
      <c r="AA132" s="30">
        <v>49</v>
      </c>
      <c r="AC132" s="30">
        <v>37</v>
      </c>
      <c r="AE132" s="30">
        <v>3</v>
      </c>
      <c r="AG132" s="30">
        <v>68</v>
      </c>
      <c r="AI132" s="30">
        <v>25</v>
      </c>
      <c r="AK132" s="30">
        <v>100</v>
      </c>
      <c r="AM132" s="30">
        <v>88</v>
      </c>
      <c r="AO132" s="30">
        <v>10</v>
      </c>
      <c r="AQ132" s="495">
        <v>87</v>
      </c>
      <c r="AS132" s="30">
        <v>36</v>
      </c>
      <c r="AU132">
        <v>14</v>
      </c>
      <c r="AW132" s="30">
        <v>52</v>
      </c>
      <c r="AY132" s="30">
        <v>52</v>
      </c>
      <c r="BA132" s="30">
        <v>37</v>
      </c>
      <c r="BC132" s="30">
        <v>65</v>
      </c>
      <c r="BE132" s="30">
        <v>1</v>
      </c>
      <c r="BG132" s="30">
        <v>30</v>
      </c>
      <c r="BI132" s="30">
        <v>60</v>
      </c>
      <c r="BK132" s="30">
        <v>42</v>
      </c>
      <c r="BM132" s="769">
        <v>12</v>
      </c>
      <c r="BO132" s="30">
        <v>33</v>
      </c>
      <c r="BQ132" s="30">
        <v>11</v>
      </c>
      <c r="BS132" s="30">
        <v>63</v>
      </c>
      <c r="BU132" s="30">
        <v>49</v>
      </c>
      <c r="BW132" s="30">
        <v>16</v>
      </c>
      <c r="CC132" s="30">
        <v>76</v>
      </c>
    </row>
    <row r="133" spans="2:81" x14ac:dyDescent="0.2">
      <c r="B133" s="30">
        <v>50</v>
      </c>
      <c r="D133" s="30">
        <v>89</v>
      </c>
      <c r="F133" s="30">
        <v>82</v>
      </c>
      <c r="G133" s="34"/>
      <c r="H133" s="30">
        <v>82</v>
      </c>
      <c r="J133" s="30">
        <v>74</v>
      </c>
      <c r="L133" s="30">
        <v>44</v>
      </c>
      <c r="N133" s="30">
        <v>10</v>
      </c>
      <c r="P133" s="30">
        <v>40</v>
      </c>
      <c r="R133" s="30">
        <v>94</v>
      </c>
      <c r="T133" s="30">
        <v>36</v>
      </c>
      <c r="V133" s="30">
        <v>52</v>
      </c>
      <c r="X133" s="30">
        <v>41</v>
      </c>
      <c r="AA133" s="30">
        <v>44</v>
      </c>
      <c r="AC133" s="30">
        <v>50</v>
      </c>
      <c r="AE133" s="30">
        <v>11</v>
      </c>
      <c r="AG133" s="30">
        <v>50</v>
      </c>
      <c r="AI133" s="30">
        <v>93</v>
      </c>
      <c r="AK133" s="30">
        <v>63</v>
      </c>
      <c r="AM133" s="30">
        <v>61</v>
      </c>
      <c r="AO133" s="30">
        <v>28</v>
      </c>
      <c r="AQ133" s="495">
        <v>54</v>
      </c>
      <c r="AS133" s="30">
        <v>84</v>
      </c>
      <c r="AU133">
        <v>9</v>
      </c>
      <c r="AW133" s="30">
        <v>34</v>
      </c>
      <c r="AY133" s="30">
        <v>34</v>
      </c>
      <c r="BA133" s="30">
        <v>9</v>
      </c>
      <c r="BC133" s="30">
        <v>5</v>
      </c>
      <c r="BE133" s="30">
        <v>68</v>
      </c>
      <c r="BG133" s="30">
        <v>75</v>
      </c>
      <c r="BI133" s="30">
        <v>34</v>
      </c>
      <c r="BK133" s="30">
        <v>28</v>
      </c>
      <c r="BM133" s="769">
        <v>99</v>
      </c>
      <c r="BO133" s="30">
        <v>97</v>
      </c>
      <c r="BQ133" s="30">
        <v>81</v>
      </c>
      <c r="BS133" s="30">
        <v>11</v>
      </c>
      <c r="BU133" s="30">
        <v>22</v>
      </c>
      <c r="BW133" s="30">
        <v>18</v>
      </c>
      <c r="CC133" s="30">
        <v>25</v>
      </c>
    </row>
    <row r="134" spans="2:81" x14ac:dyDescent="0.2">
      <c r="B134" s="30">
        <v>69</v>
      </c>
      <c r="D134" s="30">
        <v>38</v>
      </c>
      <c r="F134" s="30">
        <v>77</v>
      </c>
      <c r="G134" s="34"/>
      <c r="H134" s="30">
        <v>21</v>
      </c>
      <c r="J134" s="30">
        <v>54</v>
      </c>
      <c r="L134" s="30">
        <v>50</v>
      </c>
      <c r="N134" s="30">
        <v>22</v>
      </c>
      <c r="P134" s="30">
        <v>40</v>
      </c>
      <c r="R134" s="30">
        <v>58</v>
      </c>
      <c r="T134" s="30">
        <v>63</v>
      </c>
      <c r="V134" s="30">
        <v>17</v>
      </c>
      <c r="X134" s="30">
        <v>75</v>
      </c>
      <c r="AA134" s="30">
        <v>41</v>
      </c>
      <c r="AC134" s="30">
        <v>84</v>
      </c>
      <c r="AE134" s="30">
        <v>27</v>
      </c>
      <c r="AG134" s="30">
        <v>23</v>
      </c>
      <c r="AI134" s="30">
        <v>63</v>
      </c>
      <c r="AK134" s="30">
        <v>85</v>
      </c>
      <c r="AM134" s="30">
        <v>66</v>
      </c>
      <c r="AO134" s="30">
        <v>95</v>
      </c>
      <c r="AQ134" s="495">
        <v>57</v>
      </c>
      <c r="AS134" s="30">
        <v>2</v>
      </c>
      <c r="AU134">
        <v>48</v>
      </c>
      <c r="AW134" s="30">
        <v>70</v>
      </c>
      <c r="AY134" s="30">
        <v>70</v>
      </c>
      <c r="BA134" s="30">
        <v>28</v>
      </c>
      <c r="BC134" s="30">
        <v>61</v>
      </c>
      <c r="BE134" s="30">
        <v>28</v>
      </c>
      <c r="BG134" s="30">
        <v>61</v>
      </c>
      <c r="BI134" s="30">
        <v>72</v>
      </c>
      <c r="BK134" s="30">
        <v>75</v>
      </c>
      <c r="BM134" s="769">
        <v>13</v>
      </c>
      <c r="BO134" s="30">
        <v>85</v>
      </c>
      <c r="BQ134" s="30">
        <v>25</v>
      </c>
      <c r="BS134" s="30">
        <v>31</v>
      </c>
      <c r="BU134" s="30">
        <v>5</v>
      </c>
      <c r="BW134" s="30">
        <v>51</v>
      </c>
      <c r="CC134" s="30">
        <v>31</v>
      </c>
    </row>
    <row r="135" spans="2:81" x14ac:dyDescent="0.2">
      <c r="B135" s="30">
        <v>66</v>
      </c>
      <c r="D135" s="30">
        <v>22</v>
      </c>
      <c r="F135" s="30">
        <v>51</v>
      </c>
      <c r="G135" s="34"/>
      <c r="H135" s="30">
        <v>58</v>
      </c>
      <c r="J135" s="30">
        <v>58</v>
      </c>
      <c r="L135" s="30">
        <v>29</v>
      </c>
      <c r="N135" s="30">
        <v>36</v>
      </c>
      <c r="P135" s="30">
        <v>40</v>
      </c>
      <c r="R135" s="30">
        <v>30</v>
      </c>
      <c r="T135" s="30">
        <v>56</v>
      </c>
      <c r="V135" s="30">
        <v>46</v>
      </c>
      <c r="X135" s="30">
        <v>9</v>
      </c>
      <c r="AA135" s="30">
        <v>75</v>
      </c>
      <c r="AC135" s="30">
        <v>16</v>
      </c>
      <c r="AE135" s="30">
        <v>72</v>
      </c>
      <c r="AG135" s="30">
        <v>90</v>
      </c>
      <c r="AI135" s="30">
        <v>41</v>
      </c>
      <c r="AK135" s="30">
        <v>24</v>
      </c>
      <c r="AM135" s="30">
        <v>23</v>
      </c>
      <c r="AO135" s="30">
        <v>62</v>
      </c>
      <c r="AQ135" s="495">
        <v>24</v>
      </c>
      <c r="AS135" s="30">
        <v>15</v>
      </c>
      <c r="AU135">
        <v>44</v>
      </c>
      <c r="AW135" s="30">
        <v>22</v>
      </c>
      <c r="AY135" s="30">
        <v>22</v>
      </c>
      <c r="BA135" s="30">
        <v>61</v>
      </c>
      <c r="BC135" s="30">
        <v>62</v>
      </c>
      <c r="BE135" s="30">
        <v>14</v>
      </c>
      <c r="BG135" s="30">
        <v>19</v>
      </c>
      <c r="BI135" s="30">
        <v>51</v>
      </c>
      <c r="BK135" s="30">
        <v>45</v>
      </c>
      <c r="BM135" s="769">
        <v>19</v>
      </c>
      <c r="BO135" s="30">
        <v>47</v>
      </c>
      <c r="BQ135" s="30">
        <v>86</v>
      </c>
      <c r="BS135" s="30">
        <v>48</v>
      </c>
      <c r="BU135" s="30">
        <v>75</v>
      </c>
      <c r="BW135" s="30">
        <v>28</v>
      </c>
      <c r="CC135" s="30">
        <v>23</v>
      </c>
    </row>
    <row r="136" spans="2:81" x14ac:dyDescent="0.2">
      <c r="B136" s="30">
        <v>51</v>
      </c>
      <c r="D136" s="30">
        <v>16</v>
      </c>
      <c r="F136" s="30">
        <v>28</v>
      </c>
      <c r="G136" s="34"/>
      <c r="H136" s="30">
        <v>67</v>
      </c>
      <c r="J136" s="30">
        <v>39</v>
      </c>
      <c r="L136" s="30">
        <v>27</v>
      </c>
      <c r="N136" s="30">
        <v>21</v>
      </c>
      <c r="P136" s="30">
        <v>40</v>
      </c>
      <c r="R136" s="30">
        <v>35</v>
      </c>
      <c r="T136" s="30">
        <v>19</v>
      </c>
      <c r="V136" s="30">
        <v>49</v>
      </c>
      <c r="X136" s="30">
        <v>6</v>
      </c>
      <c r="AA136" s="30">
        <v>9</v>
      </c>
      <c r="AC136" s="30">
        <v>7</v>
      </c>
      <c r="AE136" s="30">
        <v>35</v>
      </c>
      <c r="AG136" s="30">
        <v>48</v>
      </c>
      <c r="AI136" s="30">
        <v>39</v>
      </c>
      <c r="AK136" s="30">
        <v>68</v>
      </c>
      <c r="AM136" s="30">
        <v>70</v>
      </c>
      <c r="AO136" s="30">
        <v>59</v>
      </c>
      <c r="AQ136" s="495">
        <v>60</v>
      </c>
      <c r="AS136" s="30">
        <v>20</v>
      </c>
      <c r="AU136">
        <v>50</v>
      </c>
      <c r="AW136" s="30">
        <v>54</v>
      </c>
      <c r="AY136" s="30">
        <v>54</v>
      </c>
      <c r="BA136" s="30">
        <v>3</v>
      </c>
      <c r="BC136" s="30">
        <v>2</v>
      </c>
      <c r="BE136" s="30">
        <v>8</v>
      </c>
      <c r="BG136" s="30">
        <v>11</v>
      </c>
      <c r="BI136" s="30">
        <v>12</v>
      </c>
      <c r="BK136" s="30">
        <v>24</v>
      </c>
      <c r="BM136" s="769">
        <v>8</v>
      </c>
      <c r="BO136" s="30">
        <v>10</v>
      </c>
      <c r="BQ136" s="30">
        <v>26</v>
      </c>
      <c r="BS136" s="30">
        <v>9</v>
      </c>
      <c r="BU136" s="30">
        <v>60</v>
      </c>
      <c r="BW136" s="30">
        <v>76</v>
      </c>
      <c r="CC136" s="30">
        <v>16</v>
      </c>
    </row>
    <row r="137" spans="2:81" x14ac:dyDescent="0.2">
      <c r="B137" s="30">
        <v>90</v>
      </c>
      <c r="D137" s="30">
        <v>0</v>
      </c>
      <c r="F137" s="30">
        <v>52</v>
      </c>
      <c r="G137" s="34"/>
      <c r="H137" s="30">
        <v>84</v>
      </c>
      <c r="J137" s="30">
        <v>45</v>
      </c>
      <c r="L137" s="30">
        <v>22</v>
      </c>
      <c r="N137" s="30">
        <v>74</v>
      </c>
      <c r="P137" s="30">
        <v>40</v>
      </c>
      <c r="R137" s="30">
        <v>29</v>
      </c>
      <c r="T137" s="30">
        <v>27</v>
      </c>
      <c r="V137" s="30">
        <v>25</v>
      </c>
      <c r="X137" s="30">
        <v>32</v>
      </c>
      <c r="AA137" s="30">
        <v>6</v>
      </c>
      <c r="AC137" s="30">
        <v>36</v>
      </c>
      <c r="AE137" s="30">
        <v>50</v>
      </c>
      <c r="AG137" s="30">
        <v>41</v>
      </c>
      <c r="AI137" s="30">
        <v>19</v>
      </c>
      <c r="AK137" s="30">
        <v>54</v>
      </c>
      <c r="AM137" s="30">
        <v>60</v>
      </c>
      <c r="AO137" s="30">
        <v>92</v>
      </c>
      <c r="AQ137" s="495">
        <v>74</v>
      </c>
      <c r="AS137" s="30">
        <v>90</v>
      </c>
      <c r="AU137">
        <v>54</v>
      </c>
      <c r="AW137" s="30">
        <v>38</v>
      </c>
      <c r="AY137" s="30">
        <v>38</v>
      </c>
      <c r="BA137" s="30">
        <v>3</v>
      </c>
      <c r="BC137" s="30">
        <v>10</v>
      </c>
      <c r="BE137" s="30">
        <v>43</v>
      </c>
      <c r="BG137" s="30">
        <v>47</v>
      </c>
      <c r="BI137" s="30">
        <v>68</v>
      </c>
      <c r="BK137" s="30">
        <v>48</v>
      </c>
      <c r="BM137" s="769">
        <v>65</v>
      </c>
      <c r="BO137" s="30">
        <v>57</v>
      </c>
      <c r="BQ137" s="30">
        <v>44</v>
      </c>
      <c r="BS137" s="30">
        <v>46</v>
      </c>
      <c r="BU137" s="30">
        <v>20</v>
      </c>
      <c r="BW137" s="30">
        <v>15</v>
      </c>
      <c r="CC137" s="30">
        <v>43</v>
      </c>
    </row>
    <row r="138" spans="2:81" x14ac:dyDescent="0.2">
      <c r="B138" s="30">
        <v>39</v>
      </c>
      <c r="D138" s="30">
        <v>13</v>
      </c>
      <c r="F138" s="30">
        <v>33</v>
      </c>
      <c r="G138" s="34"/>
      <c r="H138" s="30">
        <v>24</v>
      </c>
      <c r="J138" s="30">
        <v>97</v>
      </c>
      <c r="L138" s="30">
        <v>9</v>
      </c>
      <c r="N138" s="30">
        <v>31</v>
      </c>
      <c r="P138" s="30">
        <v>40</v>
      </c>
      <c r="R138" s="30">
        <v>60</v>
      </c>
      <c r="T138" s="30">
        <v>26</v>
      </c>
      <c r="V138" s="30">
        <v>40</v>
      </c>
      <c r="X138" s="30">
        <v>5</v>
      </c>
      <c r="AA138" s="30">
        <v>32</v>
      </c>
      <c r="AC138" s="30">
        <v>0</v>
      </c>
      <c r="AE138" s="30">
        <v>41</v>
      </c>
      <c r="AG138" s="30">
        <v>35</v>
      </c>
      <c r="AI138" s="30">
        <v>25</v>
      </c>
      <c r="AK138" s="30">
        <v>50</v>
      </c>
      <c r="AM138" s="30">
        <v>51</v>
      </c>
      <c r="AO138" s="30">
        <v>67</v>
      </c>
      <c r="AQ138" s="495">
        <v>47</v>
      </c>
      <c r="AS138" s="30">
        <v>34</v>
      </c>
      <c r="AU138">
        <v>14</v>
      </c>
      <c r="AW138" s="30">
        <v>41</v>
      </c>
      <c r="AY138" s="30">
        <v>41</v>
      </c>
      <c r="BA138" s="30">
        <v>17</v>
      </c>
      <c r="BC138" s="30">
        <v>51</v>
      </c>
      <c r="BE138" s="30">
        <v>13</v>
      </c>
      <c r="BG138" s="30">
        <v>16</v>
      </c>
      <c r="BI138" s="30">
        <v>27</v>
      </c>
      <c r="BK138" s="30">
        <v>22</v>
      </c>
      <c r="BM138" s="769">
        <v>81</v>
      </c>
      <c r="BO138" s="30">
        <v>76</v>
      </c>
      <c r="BQ138" s="30">
        <v>88</v>
      </c>
      <c r="BS138" s="30">
        <v>97</v>
      </c>
      <c r="BU138" s="30">
        <v>37</v>
      </c>
      <c r="BW138" s="30">
        <v>82</v>
      </c>
      <c r="CC138" s="30">
        <v>55</v>
      </c>
    </row>
    <row r="139" spans="2:81" x14ac:dyDescent="0.2">
      <c r="B139" s="30">
        <v>51</v>
      </c>
      <c r="D139" s="30">
        <v>8</v>
      </c>
      <c r="F139" s="30">
        <v>90</v>
      </c>
      <c r="G139" s="34"/>
      <c r="H139" s="30">
        <v>68</v>
      </c>
      <c r="J139" s="30">
        <v>34</v>
      </c>
      <c r="L139" s="30">
        <v>53</v>
      </c>
      <c r="N139" s="30">
        <v>38</v>
      </c>
      <c r="P139" s="30">
        <v>41</v>
      </c>
      <c r="R139" s="30">
        <v>50</v>
      </c>
      <c r="T139" s="30">
        <v>26</v>
      </c>
      <c r="V139" s="30">
        <v>78</v>
      </c>
      <c r="X139" s="30">
        <v>28</v>
      </c>
      <c r="AA139" s="30">
        <v>5</v>
      </c>
      <c r="AC139" s="30">
        <v>32</v>
      </c>
      <c r="AE139" s="30">
        <v>57</v>
      </c>
      <c r="AG139" s="30">
        <v>14</v>
      </c>
      <c r="AI139" s="30">
        <v>2</v>
      </c>
      <c r="AK139" s="30">
        <v>30</v>
      </c>
      <c r="AM139" s="30">
        <v>37</v>
      </c>
      <c r="AO139" s="30">
        <v>45</v>
      </c>
      <c r="AQ139" s="495">
        <v>24</v>
      </c>
      <c r="AS139" s="30">
        <v>53</v>
      </c>
      <c r="AU139">
        <v>13</v>
      </c>
      <c r="AW139" s="30">
        <v>53</v>
      </c>
      <c r="AY139" s="30">
        <v>53</v>
      </c>
      <c r="BA139" s="30">
        <v>13</v>
      </c>
      <c r="BC139" s="30">
        <v>90</v>
      </c>
      <c r="BE139" s="30">
        <v>9</v>
      </c>
      <c r="BG139" s="30">
        <v>27</v>
      </c>
      <c r="BI139" s="30">
        <v>44</v>
      </c>
      <c r="BK139" s="30">
        <v>46</v>
      </c>
      <c r="BM139" s="769">
        <v>8</v>
      </c>
      <c r="BO139" s="30">
        <v>70</v>
      </c>
      <c r="BQ139" s="30">
        <v>32</v>
      </c>
      <c r="BS139" s="30">
        <v>26</v>
      </c>
      <c r="BU139" s="30">
        <v>38</v>
      </c>
      <c r="BW139" s="30">
        <v>21</v>
      </c>
      <c r="CC139" s="30">
        <v>12</v>
      </c>
    </row>
    <row r="140" spans="2:81" x14ac:dyDescent="0.2">
      <c r="B140" s="30">
        <v>69</v>
      </c>
      <c r="D140" s="30">
        <v>6</v>
      </c>
      <c r="F140" s="30">
        <v>75</v>
      </c>
      <c r="G140" s="34"/>
      <c r="H140" s="30">
        <v>75</v>
      </c>
      <c r="J140" s="30">
        <v>40</v>
      </c>
      <c r="L140" s="30">
        <v>65</v>
      </c>
      <c r="N140" s="30">
        <v>60</v>
      </c>
      <c r="P140" s="30">
        <v>41</v>
      </c>
      <c r="R140" s="30">
        <v>61</v>
      </c>
      <c r="T140" s="30">
        <v>27</v>
      </c>
      <c r="V140" s="30">
        <v>45</v>
      </c>
      <c r="X140" s="30">
        <v>21</v>
      </c>
      <c r="AA140" s="30">
        <v>28</v>
      </c>
      <c r="AC140" s="30">
        <v>27</v>
      </c>
      <c r="AE140" s="30">
        <v>44</v>
      </c>
      <c r="AG140" s="30">
        <v>23</v>
      </c>
      <c r="AI140" s="30">
        <v>79</v>
      </c>
      <c r="AK140" s="30">
        <v>11</v>
      </c>
      <c r="AM140" s="30">
        <v>13</v>
      </c>
      <c r="AO140" s="30">
        <v>5</v>
      </c>
      <c r="AQ140" s="495">
        <v>12</v>
      </c>
      <c r="AS140" s="30">
        <v>15</v>
      </c>
      <c r="AU140">
        <v>30</v>
      </c>
      <c r="AW140" s="30">
        <v>13</v>
      </c>
      <c r="AY140" s="30">
        <v>13</v>
      </c>
      <c r="BA140" s="30">
        <v>12</v>
      </c>
      <c r="BC140" s="30">
        <v>34</v>
      </c>
      <c r="BE140" s="30">
        <v>10</v>
      </c>
      <c r="BG140" s="30">
        <v>67</v>
      </c>
      <c r="BI140" s="30">
        <v>38</v>
      </c>
      <c r="BK140" s="30">
        <v>25</v>
      </c>
      <c r="BM140" s="769">
        <v>41</v>
      </c>
      <c r="BO140" s="30">
        <v>17</v>
      </c>
      <c r="BQ140" s="30">
        <v>83</v>
      </c>
      <c r="BS140" s="30">
        <v>43</v>
      </c>
      <c r="BU140" s="30">
        <v>16</v>
      </c>
      <c r="BW140" s="30">
        <v>84</v>
      </c>
      <c r="CC140" s="30">
        <v>64</v>
      </c>
    </row>
    <row r="141" spans="2:81" x14ac:dyDescent="0.2">
      <c r="B141" s="30">
        <v>64</v>
      </c>
      <c r="D141" s="30">
        <v>46</v>
      </c>
      <c r="F141" s="30">
        <v>57</v>
      </c>
      <c r="G141" s="34"/>
      <c r="H141" s="30">
        <v>88</v>
      </c>
      <c r="J141" s="30">
        <v>36</v>
      </c>
      <c r="L141" s="30">
        <v>18</v>
      </c>
      <c r="N141" s="30">
        <v>16</v>
      </c>
      <c r="P141" s="30">
        <v>41</v>
      </c>
      <c r="R141" s="30">
        <v>31</v>
      </c>
      <c r="T141" s="30">
        <v>88</v>
      </c>
      <c r="V141" s="30">
        <v>48</v>
      </c>
      <c r="X141" s="30">
        <v>14</v>
      </c>
      <c r="AA141" s="30">
        <v>21</v>
      </c>
      <c r="AC141" s="30">
        <v>15</v>
      </c>
      <c r="AE141" s="30">
        <v>76</v>
      </c>
      <c r="AG141" s="30">
        <v>12</v>
      </c>
      <c r="AI141" s="30">
        <v>48</v>
      </c>
      <c r="AK141" s="30">
        <v>76</v>
      </c>
      <c r="AM141" s="30">
        <v>17</v>
      </c>
      <c r="AO141" s="30">
        <v>85</v>
      </c>
      <c r="AQ141" s="495">
        <v>18</v>
      </c>
      <c r="AS141" s="30">
        <v>61</v>
      </c>
      <c r="AU141">
        <v>24</v>
      </c>
      <c r="AW141" s="30">
        <v>25</v>
      </c>
      <c r="AY141" s="30">
        <v>25</v>
      </c>
      <c r="BA141" s="30">
        <v>22</v>
      </c>
      <c r="BC141" s="30">
        <v>11</v>
      </c>
      <c r="BE141" s="30">
        <v>54</v>
      </c>
      <c r="BG141" s="30">
        <v>28</v>
      </c>
      <c r="BI141" s="30">
        <v>0</v>
      </c>
      <c r="BK141" s="30">
        <v>14</v>
      </c>
      <c r="BM141" s="769">
        <v>90</v>
      </c>
      <c r="BO141" s="30">
        <v>57</v>
      </c>
      <c r="BQ141" s="30">
        <v>67</v>
      </c>
      <c r="BS141" s="30">
        <v>69</v>
      </c>
      <c r="BU141" s="30">
        <v>23</v>
      </c>
      <c r="BW141" s="30">
        <v>13</v>
      </c>
      <c r="CC141" s="30">
        <v>22</v>
      </c>
    </row>
    <row r="142" spans="2:81" x14ac:dyDescent="0.2">
      <c r="B142" s="30">
        <v>80</v>
      </c>
      <c r="D142" s="30">
        <v>72</v>
      </c>
      <c r="F142" s="30">
        <v>35</v>
      </c>
      <c r="G142" s="34"/>
      <c r="H142" s="30">
        <v>50</v>
      </c>
      <c r="J142" s="30">
        <v>9</v>
      </c>
      <c r="L142" s="30">
        <v>37</v>
      </c>
      <c r="N142" s="30">
        <v>21</v>
      </c>
      <c r="P142" s="30">
        <v>41</v>
      </c>
      <c r="R142" s="30">
        <v>20</v>
      </c>
      <c r="T142" s="30">
        <v>98</v>
      </c>
      <c r="V142" s="30">
        <v>59</v>
      </c>
      <c r="X142" s="30">
        <v>6</v>
      </c>
      <c r="AA142" s="30">
        <v>14</v>
      </c>
      <c r="AC142" s="30">
        <v>7</v>
      </c>
      <c r="AE142" s="30">
        <v>66</v>
      </c>
      <c r="AG142" s="30">
        <v>73</v>
      </c>
      <c r="AI142" s="30">
        <v>2</v>
      </c>
      <c r="AK142" s="30">
        <v>11</v>
      </c>
      <c r="AM142" s="30">
        <v>13</v>
      </c>
      <c r="AO142" s="30">
        <v>56</v>
      </c>
      <c r="AQ142" s="495">
        <v>17</v>
      </c>
      <c r="AS142" s="30">
        <v>55</v>
      </c>
      <c r="AU142">
        <v>48</v>
      </c>
      <c r="AW142" s="30">
        <v>52</v>
      </c>
      <c r="AY142" s="30">
        <v>52</v>
      </c>
      <c r="BA142" s="30">
        <v>0</v>
      </c>
      <c r="BC142" s="30">
        <v>72</v>
      </c>
      <c r="BE142" s="30">
        <v>100</v>
      </c>
      <c r="BG142" s="30">
        <v>22</v>
      </c>
      <c r="BI142" s="30">
        <v>14</v>
      </c>
      <c r="BK142" s="30">
        <v>62</v>
      </c>
      <c r="BM142" s="769">
        <v>21</v>
      </c>
      <c r="BO142" s="30">
        <v>11</v>
      </c>
      <c r="BQ142" s="30">
        <v>64</v>
      </c>
      <c r="BS142" s="30">
        <v>73</v>
      </c>
      <c r="BU142" s="30">
        <v>63</v>
      </c>
      <c r="BW142" s="30">
        <v>82</v>
      </c>
      <c r="CC142" s="30">
        <v>78</v>
      </c>
    </row>
    <row r="143" spans="2:81" x14ac:dyDescent="0.2">
      <c r="B143" s="30">
        <v>72</v>
      </c>
      <c r="D143" s="30">
        <v>78</v>
      </c>
      <c r="F143" s="30">
        <v>63</v>
      </c>
      <c r="G143" s="34"/>
      <c r="H143" s="30">
        <v>44</v>
      </c>
      <c r="J143" s="59"/>
      <c r="L143" s="30">
        <v>45</v>
      </c>
      <c r="N143" s="30">
        <v>40</v>
      </c>
      <c r="P143" s="30">
        <v>41</v>
      </c>
      <c r="R143" s="30">
        <v>96</v>
      </c>
      <c r="T143" s="30">
        <v>17</v>
      </c>
      <c r="V143" s="30">
        <v>16</v>
      </c>
      <c r="X143" s="30">
        <v>53</v>
      </c>
      <c r="AA143" s="30">
        <v>6</v>
      </c>
      <c r="AC143" s="30">
        <v>61</v>
      </c>
      <c r="AE143" s="30">
        <v>34</v>
      </c>
      <c r="AG143" s="30">
        <v>15</v>
      </c>
      <c r="AI143" s="30">
        <v>19</v>
      </c>
      <c r="AK143" s="30">
        <v>70</v>
      </c>
      <c r="AM143" s="30">
        <v>58</v>
      </c>
      <c r="AO143" s="30">
        <v>26</v>
      </c>
      <c r="AQ143" s="495">
        <v>63</v>
      </c>
      <c r="AS143" s="30">
        <v>18</v>
      </c>
      <c r="AU143">
        <v>58</v>
      </c>
      <c r="AW143" s="30">
        <v>95</v>
      </c>
      <c r="AY143" s="30">
        <v>95</v>
      </c>
      <c r="BA143" s="30">
        <v>34</v>
      </c>
      <c r="BC143" s="30">
        <v>79</v>
      </c>
      <c r="BE143" s="30">
        <v>72</v>
      </c>
      <c r="BG143" s="30">
        <v>79</v>
      </c>
      <c r="BI143" s="30">
        <v>28</v>
      </c>
      <c r="BK143" s="30">
        <v>9</v>
      </c>
      <c r="BM143" s="769">
        <v>82</v>
      </c>
      <c r="BO143" s="30">
        <v>54</v>
      </c>
      <c r="BQ143" s="30">
        <v>24</v>
      </c>
      <c r="BS143" s="30">
        <v>43</v>
      </c>
      <c r="BU143" s="30">
        <v>7</v>
      </c>
      <c r="BW143" s="30">
        <v>98</v>
      </c>
      <c r="CC143" s="30">
        <v>74</v>
      </c>
    </row>
    <row r="144" spans="2:81" x14ac:dyDescent="0.2">
      <c r="B144" s="30">
        <v>66</v>
      </c>
      <c r="D144" s="30">
        <v>4</v>
      </c>
      <c r="F144" s="30">
        <v>65</v>
      </c>
      <c r="G144" s="34"/>
      <c r="H144" s="30">
        <v>22</v>
      </c>
      <c r="J144" s="30">
        <v>81</v>
      </c>
      <c r="L144" s="30">
        <v>33</v>
      </c>
      <c r="N144" s="30">
        <v>47</v>
      </c>
      <c r="P144" s="30">
        <v>41</v>
      </c>
      <c r="R144" s="30">
        <v>7</v>
      </c>
      <c r="T144" s="30">
        <v>55</v>
      </c>
      <c r="V144" s="30">
        <v>10</v>
      </c>
      <c r="X144" s="30">
        <v>57</v>
      </c>
      <c r="AA144" s="30">
        <v>53</v>
      </c>
      <c r="AC144" s="30">
        <v>68</v>
      </c>
      <c r="AE144" s="30">
        <v>74</v>
      </c>
      <c r="AG144" s="30">
        <v>18</v>
      </c>
      <c r="AI144" s="30">
        <v>29</v>
      </c>
      <c r="AK144" s="30">
        <v>49</v>
      </c>
      <c r="AM144" s="30">
        <v>54</v>
      </c>
      <c r="AO144" s="30">
        <v>84</v>
      </c>
      <c r="AQ144" s="495">
        <v>44</v>
      </c>
      <c r="AS144" s="30">
        <v>79</v>
      </c>
      <c r="AU144">
        <v>80</v>
      </c>
      <c r="AW144" s="30">
        <v>21</v>
      </c>
      <c r="AY144" s="30">
        <v>21</v>
      </c>
      <c r="BA144" s="30">
        <v>14</v>
      </c>
      <c r="BC144" s="30">
        <v>39</v>
      </c>
      <c r="BE144" s="30">
        <v>44</v>
      </c>
      <c r="BG144" s="30">
        <v>80</v>
      </c>
      <c r="BI144" s="30">
        <v>33</v>
      </c>
      <c r="BK144" s="30">
        <v>47</v>
      </c>
      <c r="BM144" s="769">
        <v>44</v>
      </c>
      <c r="BO144" s="30">
        <v>62</v>
      </c>
      <c r="BQ144" s="30">
        <v>18</v>
      </c>
      <c r="BS144" s="30">
        <v>46</v>
      </c>
      <c r="BU144" s="30">
        <v>24</v>
      </c>
      <c r="BW144" s="30">
        <v>97</v>
      </c>
      <c r="CC144" s="30">
        <v>87</v>
      </c>
    </row>
    <row r="145" spans="2:81" x14ac:dyDescent="0.2">
      <c r="B145" s="30">
        <v>32</v>
      </c>
      <c r="D145" s="30">
        <v>27</v>
      </c>
      <c r="F145" s="30">
        <v>62</v>
      </c>
      <c r="G145" s="34"/>
      <c r="H145" s="30">
        <v>26</v>
      </c>
      <c r="J145" s="30">
        <v>84</v>
      </c>
      <c r="L145" s="30">
        <v>82</v>
      </c>
      <c r="N145" s="30">
        <v>19</v>
      </c>
      <c r="P145" s="30">
        <v>42</v>
      </c>
      <c r="R145" s="30">
        <v>48</v>
      </c>
      <c r="T145" s="30">
        <v>33</v>
      </c>
      <c r="V145" s="30">
        <v>56</v>
      </c>
      <c r="X145" s="30">
        <v>16</v>
      </c>
      <c r="AA145" s="30">
        <v>57</v>
      </c>
      <c r="AC145" s="30">
        <v>16</v>
      </c>
      <c r="AE145" s="30">
        <v>54</v>
      </c>
      <c r="AG145" s="30">
        <v>82</v>
      </c>
      <c r="AI145" s="30">
        <v>54</v>
      </c>
      <c r="AK145" s="30">
        <v>22</v>
      </c>
      <c r="AM145" s="30">
        <v>16</v>
      </c>
      <c r="AO145" s="30">
        <v>31</v>
      </c>
      <c r="AQ145" s="495">
        <v>2</v>
      </c>
      <c r="AS145" s="30">
        <v>24</v>
      </c>
      <c r="AU145">
        <v>46</v>
      </c>
      <c r="AW145" s="30">
        <v>97</v>
      </c>
      <c r="AY145" s="30">
        <v>97</v>
      </c>
      <c r="BA145" s="30">
        <v>47</v>
      </c>
      <c r="BC145" s="30">
        <v>49</v>
      </c>
      <c r="BE145" s="30">
        <v>1</v>
      </c>
      <c r="BG145" s="30">
        <v>3</v>
      </c>
      <c r="BI145" s="30">
        <v>43</v>
      </c>
      <c r="BK145" s="30">
        <v>29</v>
      </c>
      <c r="BM145" s="769">
        <v>13</v>
      </c>
      <c r="BO145" s="30">
        <v>42</v>
      </c>
      <c r="BQ145" s="30">
        <v>39</v>
      </c>
      <c r="BS145" s="30">
        <v>10</v>
      </c>
      <c r="BU145" s="30">
        <v>48</v>
      </c>
      <c r="BW145" s="30">
        <v>50</v>
      </c>
      <c r="CC145" s="30">
        <v>92</v>
      </c>
    </row>
    <row r="146" spans="2:81" x14ac:dyDescent="0.2">
      <c r="B146" s="30">
        <v>48</v>
      </c>
      <c r="D146" s="30">
        <v>96</v>
      </c>
      <c r="F146" s="30">
        <v>29</v>
      </c>
      <c r="G146" s="34"/>
      <c r="H146" s="30">
        <v>10</v>
      </c>
      <c r="J146" s="30">
        <v>51</v>
      </c>
      <c r="L146" s="30">
        <v>26</v>
      </c>
      <c r="N146" s="30">
        <v>9</v>
      </c>
      <c r="P146" s="30">
        <v>42</v>
      </c>
      <c r="R146" s="30">
        <v>66</v>
      </c>
      <c r="T146" s="30">
        <v>16</v>
      </c>
      <c r="V146" s="30">
        <v>9</v>
      </c>
      <c r="X146" s="30">
        <v>54</v>
      </c>
      <c r="AA146" s="30">
        <v>16</v>
      </c>
      <c r="AC146" s="30">
        <v>52</v>
      </c>
      <c r="AE146" s="30">
        <v>18</v>
      </c>
      <c r="AG146" s="30">
        <v>17</v>
      </c>
      <c r="AI146" s="30">
        <v>41</v>
      </c>
      <c r="AK146" s="30">
        <v>29</v>
      </c>
      <c r="AM146" s="30">
        <v>18</v>
      </c>
      <c r="AO146" s="30">
        <v>53</v>
      </c>
      <c r="AQ146" s="495">
        <v>17</v>
      </c>
      <c r="AS146" s="30">
        <v>73</v>
      </c>
      <c r="AU146">
        <v>18</v>
      </c>
      <c r="AW146" s="30">
        <v>76</v>
      </c>
      <c r="AY146" s="30">
        <v>76</v>
      </c>
      <c r="BA146" s="30">
        <v>35</v>
      </c>
      <c r="BC146" s="30">
        <v>8</v>
      </c>
      <c r="BE146" s="30">
        <v>31</v>
      </c>
      <c r="BG146" s="30">
        <v>74</v>
      </c>
      <c r="BI146" s="30">
        <v>51</v>
      </c>
      <c r="BK146" s="30">
        <v>40</v>
      </c>
      <c r="BM146" s="769">
        <v>45</v>
      </c>
      <c r="BO146" s="30">
        <v>93</v>
      </c>
      <c r="BQ146" s="30">
        <v>62</v>
      </c>
      <c r="BS146" s="30">
        <v>90</v>
      </c>
      <c r="BU146" s="30">
        <v>31</v>
      </c>
      <c r="BW146" s="30">
        <v>83</v>
      </c>
      <c r="CC146" s="30">
        <v>56</v>
      </c>
    </row>
    <row r="147" spans="2:81" x14ac:dyDescent="0.2">
      <c r="B147" s="30">
        <v>62</v>
      </c>
      <c r="D147" s="30">
        <v>59</v>
      </c>
      <c r="F147" s="30">
        <v>70</v>
      </c>
      <c r="G147" s="34"/>
      <c r="H147" s="30">
        <v>24</v>
      </c>
      <c r="J147" s="30">
        <v>46</v>
      </c>
      <c r="L147" s="30">
        <v>62</v>
      </c>
      <c r="N147" s="30">
        <v>57</v>
      </c>
      <c r="P147" s="30">
        <v>42</v>
      </c>
      <c r="R147" s="30">
        <v>81</v>
      </c>
      <c r="T147" s="30">
        <v>86</v>
      </c>
      <c r="V147" s="30">
        <v>46</v>
      </c>
      <c r="X147" s="30">
        <v>44</v>
      </c>
      <c r="AA147" s="30">
        <v>54</v>
      </c>
      <c r="AC147" s="30">
        <v>58</v>
      </c>
      <c r="AE147" s="30">
        <v>6</v>
      </c>
      <c r="AG147" s="30">
        <v>25</v>
      </c>
      <c r="AI147" s="30">
        <v>14</v>
      </c>
      <c r="AK147" s="30">
        <v>15</v>
      </c>
      <c r="AM147" s="30">
        <v>14</v>
      </c>
      <c r="AO147" s="30">
        <v>26</v>
      </c>
      <c r="AQ147" s="495">
        <v>16</v>
      </c>
      <c r="AS147" s="30">
        <v>32</v>
      </c>
      <c r="AU147">
        <v>86</v>
      </c>
      <c r="AW147" s="30">
        <v>99</v>
      </c>
      <c r="AY147" s="30">
        <v>99</v>
      </c>
      <c r="BA147" s="30">
        <v>1</v>
      </c>
      <c r="BC147" s="30">
        <v>67</v>
      </c>
      <c r="BE147" s="30">
        <v>11</v>
      </c>
      <c r="BG147" s="30">
        <v>38</v>
      </c>
      <c r="BI147" s="30">
        <v>31</v>
      </c>
      <c r="BK147" s="30">
        <v>45</v>
      </c>
      <c r="BM147" s="769">
        <v>25</v>
      </c>
      <c r="BO147" s="30">
        <v>62</v>
      </c>
      <c r="BQ147" s="30">
        <v>12</v>
      </c>
      <c r="BS147" s="30">
        <v>17</v>
      </c>
      <c r="BU147" s="30">
        <v>0</v>
      </c>
      <c r="BW147" s="30">
        <v>24</v>
      </c>
      <c r="CC147" s="30">
        <v>3</v>
      </c>
    </row>
    <row r="148" spans="2:81" x14ac:dyDescent="0.2">
      <c r="B148" s="30">
        <v>21</v>
      </c>
      <c r="D148" s="30">
        <v>5</v>
      </c>
      <c r="F148" s="30">
        <v>50</v>
      </c>
      <c r="G148" s="34"/>
      <c r="H148" s="30">
        <v>84</v>
      </c>
      <c r="J148" s="30">
        <v>73</v>
      </c>
      <c r="L148" s="30">
        <v>59</v>
      </c>
      <c r="N148" s="30">
        <v>79</v>
      </c>
      <c r="P148" s="30">
        <v>44</v>
      </c>
      <c r="R148" s="30">
        <v>29</v>
      </c>
      <c r="T148" s="30">
        <v>22</v>
      </c>
      <c r="V148" s="30">
        <v>53</v>
      </c>
      <c r="X148" s="30">
        <v>46</v>
      </c>
      <c r="AA148" s="30">
        <v>44</v>
      </c>
      <c r="AC148" s="30">
        <v>29</v>
      </c>
      <c r="AE148" s="30">
        <v>57</v>
      </c>
      <c r="AG148" s="30">
        <v>40</v>
      </c>
      <c r="AI148" s="30">
        <v>67</v>
      </c>
      <c r="AK148" s="30">
        <v>55</v>
      </c>
      <c r="AM148" s="30">
        <v>51</v>
      </c>
      <c r="AO148" s="30">
        <v>33</v>
      </c>
      <c r="AQ148" s="495">
        <v>56</v>
      </c>
      <c r="AS148" s="30">
        <v>41</v>
      </c>
      <c r="AU148">
        <v>8</v>
      </c>
      <c r="AW148" s="30">
        <v>57</v>
      </c>
      <c r="AY148" s="30">
        <v>57</v>
      </c>
      <c r="BA148" s="30">
        <v>1</v>
      </c>
      <c r="BC148" s="30">
        <v>45</v>
      </c>
      <c r="BE148" s="30">
        <v>57</v>
      </c>
      <c r="BG148" s="30">
        <v>10</v>
      </c>
      <c r="BI148" s="30">
        <v>20</v>
      </c>
      <c r="BK148" s="30">
        <v>26</v>
      </c>
      <c r="BM148" s="769">
        <v>12</v>
      </c>
      <c r="BO148" s="30">
        <v>31</v>
      </c>
      <c r="BQ148" s="30">
        <v>48</v>
      </c>
      <c r="BS148" s="30">
        <v>10</v>
      </c>
      <c r="BU148" s="30">
        <v>46</v>
      </c>
      <c r="BW148" s="30">
        <v>43</v>
      </c>
      <c r="CC148" s="30">
        <v>26</v>
      </c>
    </row>
    <row r="149" spans="2:81" x14ac:dyDescent="0.2">
      <c r="B149" s="30">
        <v>21</v>
      </c>
      <c r="D149" s="30">
        <v>20</v>
      </c>
      <c r="F149" s="30">
        <v>47</v>
      </c>
      <c r="G149" s="34"/>
      <c r="H149" s="30">
        <v>84</v>
      </c>
      <c r="J149" s="30">
        <v>62</v>
      </c>
      <c r="L149" s="30">
        <v>86</v>
      </c>
      <c r="N149" s="30">
        <v>58</v>
      </c>
      <c r="P149" s="30">
        <v>45</v>
      </c>
      <c r="R149" s="30">
        <v>61</v>
      </c>
      <c r="T149" s="30">
        <v>6</v>
      </c>
      <c r="V149" s="30">
        <v>33</v>
      </c>
      <c r="X149" s="30">
        <v>27</v>
      </c>
      <c r="AA149" s="30">
        <v>46</v>
      </c>
      <c r="AC149" s="30">
        <v>14</v>
      </c>
      <c r="AD149" s="30" t="s">
        <v>119</v>
      </c>
      <c r="AE149" s="30">
        <v>15</v>
      </c>
      <c r="AG149" s="30">
        <v>40</v>
      </c>
      <c r="AI149" s="30">
        <v>35</v>
      </c>
      <c r="AK149" s="30">
        <v>35</v>
      </c>
      <c r="AM149" s="30">
        <v>59</v>
      </c>
      <c r="AO149" s="30">
        <v>45</v>
      </c>
      <c r="AQ149" s="495">
        <v>41</v>
      </c>
      <c r="AS149" s="30">
        <v>18</v>
      </c>
      <c r="AU149">
        <v>54</v>
      </c>
      <c r="AW149" s="30">
        <v>39</v>
      </c>
      <c r="AY149" s="30">
        <v>39</v>
      </c>
      <c r="BA149" s="30">
        <v>6</v>
      </c>
      <c r="BC149" s="30">
        <v>24</v>
      </c>
      <c r="BE149" s="30">
        <v>84</v>
      </c>
      <c r="BG149" s="30">
        <v>51</v>
      </c>
      <c r="BI149" s="30">
        <v>39</v>
      </c>
      <c r="BK149" s="30">
        <v>2</v>
      </c>
      <c r="BM149" s="769">
        <v>8</v>
      </c>
      <c r="BO149" s="30">
        <v>71</v>
      </c>
      <c r="BQ149" s="30">
        <v>2</v>
      </c>
      <c r="BS149" s="30">
        <v>71</v>
      </c>
      <c r="BU149" s="30">
        <v>40</v>
      </c>
      <c r="BW149" s="30">
        <v>41</v>
      </c>
      <c r="CC149" s="30">
        <v>70</v>
      </c>
    </row>
    <row r="150" spans="2:81" x14ac:dyDescent="0.2">
      <c r="B150" s="30">
        <v>30</v>
      </c>
      <c r="D150" s="30">
        <v>7</v>
      </c>
      <c r="F150" s="59"/>
      <c r="G150" s="34"/>
      <c r="H150" s="59"/>
      <c r="J150" s="30">
        <v>44</v>
      </c>
      <c r="L150" s="30">
        <v>20</v>
      </c>
      <c r="N150" s="30">
        <v>11</v>
      </c>
      <c r="P150" s="30">
        <v>45</v>
      </c>
      <c r="R150" s="30">
        <v>63</v>
      </c>
      <c r="T150" s="30">
        <v>46</v>
      </c>
      <c r="V150" s="30">
        <v>15</v>
      </c>
      <c r="X150" s="30">
        <v>38</v>
      </c>
      <c r="AA150" s="30">
        <v>27</v>
      </c>
      <c r="AC150" s="30">
        <v>57</v>
      </c>
      <c r="AE150" s="30">
        <v>15</v>
      </c>
      <c r="AG150" s="30">
        <v>12</v>
      </c>
      <c r="AI150" s="30">
        <v>62</v>
      </c>
      <c r="AK150" s="30">
        <v>11</v>
      </c>
      <c r="AM150" s="30">
        <v>14</v>
      </c>
      <c r="AO150" s="30">
        <v>17</v>
      </c>
      <c r="AQ150" s="495">
        <v>14</v>
      </c>
      <c r="AS150" s="30">
        <v>61</v>
      </c>
      <c r="AU150">
        <v>36</v>
      </c>
      <c r="AW150" s="30">
        <v>29</v>
      </c>
      <c r="AY150" s="30">
        <v>29</v>
      </c>
      <c r="BA150" s="30">
        <v>9</v>
      </c>
      <c r="BC150" s="30">
        <v>5</v>
      </c>
      <c r="BE150" s="30">
        <v>43</v>
      </c>
      <c r="BG150" s="30">
        <v>55</v>
      </c>
      <c r="BI150" s="30">
        <v>44</v>
      </c>
      <c r="BK150" s="30">
        <v>27</v>
      </c>
      <c r="BM150" s="769">
        <v>41</v>
      </c>
      <c r="BO150" s="30">
        <v>21</v>
      </c>
      <c r="BQ150" s="30">
        <v>87</v>
      </c>
      <c r="BS150" s="30">
        <v>87</v>
      </c>
      <c r="BU150" s="30">
        <v>47</v>
      </c>
      <c r="BW150" s="30">
        <v>62</v>
      </c>
      <c r="CC150" s="30">
        <v>24</v>
      </c>
    </row>
    <row r="151" spans="2:81" x14ac:dyDescent="0.2">
      <c r="B151" s="30">
        <v>100</v>
      </c>
      <c r="D151" s="30">
        <v>51</v>
      </c>
      <c r="F151" s="30">
        <v>22</v>
      </c>
      <c r="G151" s="34"/>
      <c r="H151" s="30">
        <v>16</v>
      </c>
      <c r="J151" s="30">
        <v>29</v>
      </c>
      <c r="L151" s="30">
        <v>43</v>
      </c>
      <c r="N151" s="30">
        <v>71</v>
      </c>
      <c r="P151" s="30">
        <v>45</v>
      </c>
      <c r="R151" s="30">
        <v>30</v>
      </c>
      <c r="T151" s="30">
        <v>49</v>
      </c>
      <c r="V151" s="30">
        <v>39</v>
      </c>
      <c r="X151" s="30">
        <v>51</v>
      </c>
      <c r="AA151" s="30">
        <v>38</v>
      </c>
      <c r="AC151" s="30">
        <v>76</v>
      </c>
      <c r="AE151" s="30">
        <v>45</v>
      </c>
      <c r="AG151" s="30">
        <v>29</v>
      </c>
      <c r="AI151" s="30">
        <v>21</v>
      </c>
      <c r="AK151" s="30">
        <v>80</v>
      </c>
      <c r="AM151" s="30">
        <v>56</v>
      </c>
      <c r="AO151" s="30">
        <v>61</v>
      </c>
      <c r="AQ151" s="495">
        <v>22</v>
      </c>
      <c r="AS151" s="30">
        <v>58</v>
      </c>
      <c r="AU151">
        <v>42</v>
      </c>
      <c r="AW151" s="30">
        <v>67</v>
      </c>
      <c r="AY151" s="30">
        <v>67</v>
      </c>
      <c r="BA151" s="30">
        <v>39</v>
      </c>
      <c r="BC151" s="30">
        <v>54</v>
      </c>
      <c r="BE151" s="30">
        <v>13</v>
      </c>
      <c r="BG151" s="30">
        <v>0</v>
      </c>
      <c r="BI151" s="30">
        <v>66</v>
      </c>
      <c r="BK151" s="30">
        <v>93</v>
      </c>
      <c r="BM151" s="769">
        <v>34</v>
      </c>
      <c r="BO151" s="30">
        <v>62</v>
      </c>
      <c r="BQ151" s="30">
        <v>1</v>
      </c>
      <c r="BS151" s="30">
        <v>66</v>
      </c>
      <c r="BU151" s="30">
        <v>18</v>
      </c>
      <c r="BW151" s="30">
        <v>45</v>
      </c>
      <c r="CC151" s="30">
        <v>31</v>
      </c>
    </row>
    <row r="152" spans="2:81" x14ac:dyDescent="0.2">
      <c r="B152" s="30">
        <v>88</v>
      </c>
      <c r="D152" s="30">
        <v>27</v>
      </c>
      <c r="F152" s="30">
        <v>49</v>
      </c>
      <c r="G152" s="34"/>
      <c r="H152" s="30">
        <v>64</v>
      </c>
      <c r="J152" s="30">
        <v>13</v>
      </c>
      <c r="L152" s="30">
        <v>29</v>
      </c>
      <c r="N152" s="30">
        <v>37</v>
      </c>
      <c r="P152" s="30">
        <v>45</v>
      </c>
      <c r="R152" s="30">
        <v>68</v>
      </c>
      <c r="T152" s="30">
        <v>31</v>
      </c>
      <c r="V152" s="30">
        <v>56</v>
      </c>
      <c r="X152" s="30">
        <v>34</v>
      </c>
      <c r="AA152" s="30">
        <v>51</v>
      </c>
      <c r="AC152" s="30">
        <v>24</v>
      </c>
      <c r="AE152" s="30">
        <v>7</v>
      </c>
      <c r="AG152" s="30">
        <v>36</v>
      </c>
      <c r="AI152" s="30">
        <v>45</v>
      </c>
      <c r="AK152" s="30">
        <v>17</v>
      </c>
      <c r="AM152" s="30">
        <v>18</v>
      </c>
      <c r="AO152" s="30">
        <v>56</v>
      </c>
      <c r="AQ152" s="495">
        <v>25</v>
      </c>
      <c r="AS152" s="30">
        <v>7</v>
      </c>
      <c r="AU152">
        <v>71</v>
      </c>
      <c r="AW152" s="30">
        <v>11</v>
      </c>
      <c r="AY152" s="30">
        <v>11</v>
      </c>
      <c r="BA152" s="30">
        <v>0</v>
      </c>
      <c r="BC152" s="30">
        <v>30</v>
      </c>
      <c r="BE152" s="30">
        <v>8</v>
      </c>
      <c r="BG152" s="30">
        <v>33</v>
      </c>
      <c r="BI152" s="30">
        <v>92</v>
      </c>
      <c r="BK152" s="30">
        <v>55</v>
      </c>
      <c r="BM152" s="769">
        <v>33</v>
      </c>
      <c r="BO152" s="30">
        <v>36</v>
      </c>
      <c r="BQ152" s="30">
        <v>6</v>
      </c>
      <c r="BS152" s="30">
        <v>92</v>
      </c>
      <c r="BU152" s="30">
        <v>67</v>
      </c>
      <c r="BW152" s="30">
        <v>12</v>
      </c>
      <c r="CC152" s="30">
        <v>60</v>
      </c>
    </row>
    <row r="153" spans="2:81" x14ac:dyDescent="0.2">
      <c r="B153" s="60">
        <v>26</v>
      </c>
      <c r="D153" s="30">
        <v>6</v>
      </c>
      <c r="F153" s="30">
        <v>69</v>
      </c>
      <c r="G153" s="34"/>
      <c r="H153" s="30">
        <v>40</v>
      </c>
      <c r="J153" s="30">
        <v>84</v>
      </c>
      <c r="L153" s="30">
        <v>86</v>
      </c>
      <c r="N153" s="30">
        <v>37</v>
      </c>
      <c r="P153" s="30">
        <v>47</v>
      </c>
      <c r="R153" s="30">
        <v>47</v>
      </c>
      <c r="T153" s="30">
        <v>26</v>
      </c>
      <c r="V153" s="30">
        <v>29</v>
      </c>
      <c r="X153" s="30">
        <v>36</v>
      </c>
      <c r="AA153" s="30">
        <v>34</v>
      </c>
      <c r="AC153" s="30">
        <v>40</v>
      </c>
      <c r="AE153" s="30">
        <v>37</v>
      </c>
      <c r="AG153" s="30">
        <v>42</v>
      </c>
      <c r="AI153" s="30">
        <v>52</v>
      </c>
      <c r="AK153" s="30">
        <v>91</v>
      </c>
      <c r="AM153" s="30">
        <v>64</v>
      </c>
      <c r="AO153" s="30">
        <v>17</v>
      </c>
      <c r="AQ153" s="495">
        <v>56</v>
      </c>
      <c r="AS153" s="30">
        <v>56</v>
      </c>
      <c r="AU153">
        <v>67</v>
      </c>
      <c r="AW153" s="30">
        <v>13</v>
      </c>
      <c r="AY153" s="30">
        <v>13</v>
      </c>
      <c r="BA153" s="30">
        <v>4</v>
      </c>
      <c r="BC153" s="30">
        <v>34</v>
      </c>
      <c r="BE153" s="30">
        <v>19</v>
      </c>
      <c r="BG153" s="30">
        <v>41</v>
      </c>
      <c r="BI153" s="30">
        <v>17</v>
      </c>
      <c r="BK153" s="30">
        <v>19</v>
      </c>
      <c r="BM153" s="769">
        <v>66</v>
      </c>
      <c r="BO153" s="30">
        <v>46</v>
      </c>
      <c r="BQ153" s="30">
        <v>23</v>
      </c>
      <c r="BS153" s="30">
        <v>77</v>
      </c>
      <c r="BU153" s="30">
        <v>58</v>
      </c>
      <c r="BW153" s="30">
        <v>54</v>
      </c>
      <c r="CC153" s="30">
        <v>22</v>
      </c>
    </row>
    <row r="154" spans="2:81" x14ac:dyDescent="0.2">
      <c r="B154" s="30">
        <v>94</v>
      </c>
      <c r="C154" s="30" t="s">
        <v>120</v>
      </c>
      <c r="D154" s="30">
        <v>56</v>
      </c>
      <c r="F154" s="30">
        <v>78</v>
      </c>
      <c r="G154" s="34"/>
      <c r="H154" s="30">
        <v>71</v>
      </c>
      <c r="J154" s="30">
        <v>28</v>
      </c>
      <c r="L154" s="30">
        <v>77</v>
      </c>
      <c r="N154" s="30">
        <v>81</v>
      </c>
      <c r="P154" s="30">
        <v>48</v>
      </c>
      <c r="R154" s="30">
        <v>31</v>
      </c>
      <c r="T154" s="30">
        <v>52</v>
      </c>
      <c r="V154" s="30">
        <v>79</v>
      </c>
      <c r="X154" s="30">
        <v>73</v>
      </c>
      <c r="AA154" s="30">
        <v>36</v>
      </c>
      <c r="AC154" s="30">
        <v>71</v>
      </c>
      <c r="AE154" s="30">
        <v>43</v>
      </c>
      <c r="AG154" s="30">
        <v>24</v>
      </c>
      <c r="AI154" s="30">
        <v>51</v>
      </c>
      <c r="AK154" s="30">
        <v>21</v>
      </c>
      <c r="AM154" s="30">
        <v>24</v>
      </c>
      <c r="AO154" s="30">
        <v>26</v>
      </c>
      <c r="AQ154" s="495">
        <v>37</v>
      </c>
      <c r="AS154" s="30">
        <v>52</v>
      </c>
      <c r="AU154">
        <v>21</v>
      </c>
      <c r="AW154" s="30">
        <v>43</v>
      </c>
      <c r="AY154" s="30">
        <v>43</v>
      </c>
      <c r="BA154" s="30">
        <v>30</v>
      </c>
      <c r="BC154" s="30">
        <v>1</v>
      </c>
      <c r="BE154" s="30">
        <v>33</v>
      </c>
      <c r="BG154" s="30">
        <v>38</v>
      </c>
      <c r="BI154" s="30">
        <v>33</v>
      </c>
      <c r="BK154" s="30">
        <v>78</v>
      </c>
      <c r="BM154" s="769">
        <v>15</v>
      </c>
      <c r="BO154" s="30">
        <v>16</v>
      </c>
      <c r="BQ154" s="30">
        <v>22</v>
      </c>
      <c r="BS154" s="30">
        <v>64</v>
      </c>
      <c r="BU154" s="30">
        <v>68</v>
      </c>
      <c r="BW154" s="30">
        <v>50</v>
      </c>
      <c r="CC154" s="30">
        <v>74</v>
      </c>
    </row>
    <row r="155" spans="2:81" x14ac:dyDescent="0.2">
      <c r="B155" s="30">
        <v>88</v>
      </c>
      <c r="D155" s="30">
        <v>10</v>
      </c>
      <c r="F155" s="30">
        <v>28</v>
      </c>
      <c r="G155" s="34"/>
      <c r="H155" s="30">
        <v>60</v>
      </c>
      <c r="J155" s="30">
        <v>27</v>
      </c>
      <c r="L155" s="30">
        <v>63</v>
      </c>
      <c r="N155" s="30">
        <v>62</v>
      </c>
      <c r="P155" s="30">
        <v>48</v>
      </c>
      <c r="R155" s="30">
        <v>82</v>
      </c>
      <c r="T155" s="30">
        <v>79</v>
      </c>
      <c r="V155" s="30">
        <v>71</v>
      </c>
      <c r="X155" s="30">
        <v>27</v>
      </c>
      <c r="AA155" s="30">
        <v>73</v>
      </c>
      <c r="AC155" s="30">
        <v>82</v>
      </c>
      <c r="AE155" s="30">
        <v>46</v>
      </c>
      <c r="AG155" s="30">
        <v>36</v>
      </c>
      <c r="AI155" s="30">
        <v>22</v>
      </c>
      <c r="AK155" s="30">
        <v>54</v>
      </c>
      <c r="AM155" s="30">
        <v>40</v>
      </c>
      <c r="AO155" s="30">
        <v>56</v>
      </c>
      <c r="AQ155" s="495">
        <v>48</v>
      </c>
      <c r="AS155" s="30">
        <v>55</v>
      </c>
      <c r="AU155">
        <v>16</v>
      </c>
      <c r="AW155" s="30">
        <v>64</v>
      </c>
      <c r="AY155" s="30">
        <v>64</v>
      </c>
      <c r="BA155" s="30">
        <v>18</v>
      </c>
      <c r="BC155" s="30">
        <v>16</v>
      </c>
      <c r="BE155" s="30">
        <v>18</v>
      </c>
      <c r="BG155" s="30">
        <v>86</v>
      </c>
      <c r="BI155" s="30">
        <v>67</v>
      </c>
      <c r="BK155" s="30">
        <v>52</v>
      </c>
      <c r="BM155" s="769">
        <v>57</v>
      </c>
      <c r="BO155" s="30">
        <v>61</v>
      </c>
      <c r="BQ155" s="30">
        <v>26</v>
      </c>
      <c r="BS155" s="30">
        <v>84</v>
      </c>
      <c r="BU155" s="30">
        <v>20</v>
      </c>
      <c r="BW155" s="30">
        <v>63</v>
      </c>
      <c r="CC155" s="30">
        <v>65</v>
      </c>
    </row>
    <row r="156" spans="2:81" x14ac:dyDescent="0.2">
      <c r="B156" s="30">
        <v>50</v>
      </c>
      <c r="D156" s="30">
        <v>31</v>
      </c>
      <c r="F156" s="30">
        <v>63</v>
      </c>
      <c r="G156" s="34"/>
      <c r="H156" s="30">
        <v>55</v>
      </c>
      <c r="J156" s="30">
        <v>98</v>
      </c>
      <c r="L156" s="30">
        <v>53</v>
      </c>
      <c r="N156" s="30">
        <v>74</v>
      </c>
      <c r="P156" s="30">
        <v>48</v>
      </c>
      <c r="R156" s="30">
        <v>43</v>
      </c>
      <c r="T156" s="30">
        <v>25</v>
      </c>
      <c r="V156" s="30">
        <v>55</v>
      </c>
      <c r="X156" s="30">
        <v>17</v>
      </c>
      <c r="AA156" s="30">
        <v>27</v>
      </c>
      <c r="AC156" s="30">
        <v>22</v>
      </c>
      <c r="AE156" s="30">
        <v>60</v>
      </c>
      <c r="AG156" s="30">
        <v>46</v>
      </c>
      <c r="AI156" s="30">
        <v>24</v>
      </c>
      <c r="AK156" s="30">
        <v>51</v>
      </c>
      <c r="AM156" s="30">
        <v>28</v>
      </c>
      <c r="AO156" s="30">
        <v>78</v>
      </c>
      <c r="AQ156" s="495">
        <v>36</v>
      </c>
      <c r="AS156" s="30">
        <v>12</v>
      </c>
      <c r="AU156">
        <v>21</v>
      </c>
      <c r="AW156" s="30">
        <v>23</v>
      </c>
      <c r="AY156" s="30">
        <v>23</v>
      </c>
      <c r="BA156" s="30">
        <v>17</v>
      </c>
      <c r="BC156" s="30">
        <v>53</v>
      </c>
      <c r="BE156" s="30">
        <v>7</v>
      </c>
      <c r="BG156" s="30">
        <v>0</v>
      </c>
      <c r="BI156" s="30">
        <v>3</v>
      </c>
      <c r="BK156" s="30">
        <v>60</v>
      </c>
      <c r="BM156" s="769">
        <v>80</v>
      </c>
      <c r="BO156" s="30">
        <v>36</v>
      </c>
      <c r="BQ156" s="30">
        <v>72</v>
      </c>
      <c r="BS156" s="30">
        <v>78</v>
      </c>
      <c r="BU156" s="30">
        <v>19</v>
      </c>
      <c r="BW156" s="30">
        <v>15</v>
      </c>
      <c r="CC156" s="30">
        <v>83</v>
      </c>
    </row>
    <row r="157" spans="2:81" x14ac:dyDescent="0.2">
      <c r="B157" s="30">
        <v>65</v>
      </c>
      <c r="D157" s="30">
        <v>16</v>
      </c>
      <c r="F157" s="30">
        <v>75</v>
      </c>
      <c r="G157" s="34"/>
      <c r="H157" s="30">
        <v>26</v>
      </c>
      <c r="J157" s="30">
        <v>49</v>
      </c>
      <c r="L157" s="30">
        <v>62</v>
      </c>
      <c r="N157" s="30">
        <v>26</v>
      </c>
      <c r="P157" s="30">
        <v>48</v>
      </c>
      <c r="R157" s="30">
        <v>41</v>
      </c>
      <c r="T157" s="30">
        <v>61</v>
      </c>
      <c r="V157" s="30">
        <v>84</v>
      </c>
      <c r="X157" s="30">
        <v>65</v>
      </c>
      <c r="AA157" s="30">
        <v>17</v>
      </c>
      <c r="AC157" s="30">
        <v>18</v>
      </c>
      <c r="AE157" s="30">
        <v>51</v>
      </c>
      <c r="AG157" s="30">
        <v>41</v>
      </c>
      <c r="AI157" s="30">
        <v>53</v>
      </c>
      <c r="AK157" s="30">
        <v>42</v>
      </c>
      <c r="AM157" s="30">
        <v>40</v>
      </c>
      <c r="AO157" s="30">
        <v>11</v>
      </c>
      <c r="AQ157" s="495">
        <v>46</v>
      </c>
      <c r="AS157" s="30">
        <v>24</v>
      </c>
      <c r="AU157">
        <v>25</v>
      </c>
      <c r="AW157" s="30">
        <v>21</v>
      </c>
      <c r="AY157" s="30">
        <v>21</v>
      </c>
      <c r="BA157" s="30">
        <v>63</v>
      </c>
      <c r="BC157" s="30">
        <v>53</v>
      </c>
      <c r="BE157" s="30">
        <v>17</v>
      </c>
      <c r="BG157" s="30">
        <v>37</v>
      </c>
      <c r="BI157" s="30">
        <v>18</v>
      </c>
      <c r="BK157" s="30">
        <v>18</v>
      </c>
      <c r="BM157" s="769">
        <v>73</v>
      </c>
      <c r="BO157" s="30">
        <v>32</v>
      </c>
      <c r="BQ157" s="30">
        <v>21</v>
      </c>
      <c r="BS157" s="30">
        <v>18</v>
      </c>
      <c r="BU157" s="30">
        <v>13</v>
      </c>
      <c r="BW157" s="30">
        <v>12</v>
      </c>
      <c r="CC157" s="30">
        <v>90</v>
      </c>
    </row>
    <row r="158" spans="2:81" x14ac:dyDescent="0.2">
      <c r="B158" s="30">
        <v>59</v>
      </c>
      <c r="D158" s="30">
        <v>58</v>
      </c>
      <c r="F158" s="30">
        <v>24</v>
      </c>
      <c r="G158" s="34"/>
      <c r="H158" s="30">
        <v>41</v>
      </c>
      <c r="J158" s="30">
        <v>38</v>
      </c>
      <c r="L158" s="30">
        <v>41</v>
      </c>
      <c r="N158" s="59"/>
      <c r="P158" s="30">
        <v>48</v>
      </c>
      <c r="R158" s="30">
        <v>19</v>
      </c>
      <c r="T158" s="30">
        <v>42</v>
      </c>
      <c r="V158" s="30">
        <v>37</v>
      </c>
      <c r="X158" s="30">
        <v>5</v>
      </c>
      <c r="AA158" s="30">
        <v>65</v>
      </c>
      <c r="AC158" s="30">
        <v>79</v>
      </c>
      <c r="AE158" s="30">
        <v>25</v>
      </c>
      <c r="AG158" s="30">
        <v>75</v>
      </c>
      <c r="AI158" s="30">
        <v>30</v>
      </c>
      <c r="AK158" s="30">
        <v>21</v>
      </c>
      <c r="AM158" s="30">
        <v>13</v>
      </c>
      <c r="AO158" s="30">
        <v>26</v>
      </c>
      <c r="AQ158" s="495">
        <v>5</v>
      </c>
      <c r="AS158" s="30">
        <v>83</v>
      </c>
      <c r="AU158">
        <v>11</v>
      </c>
      <c r="AW158" s="30">
        <v>35</v>
      </c>
      <c r="AY158" s="30">
        <v>35</v>
      </c>
      <c r="BA158" s="30">
        <v>34</v>
      </c>
      <c r="BC158" s="30">
        <v>44</v>
      </c>
      <c r="BE158" s="30">
        <v>0</v>
      </c>
      <c r="BG158" s="30">
        <v>62</v>
      </c>
      <c r="BI158" s="30">
        <v>20</v>
      </c>
      <c r="BK158" s="30">
        <v>66</v>
      </c>
      <c r="BM158" s="769">
        <v>61</v>
      </c>
      <c r="BO158" s="30">
        <v>76</v>
      </c>
      <c r="BQ158" s="30">
        <v>22</v>
      </c>
      <c r="BS158" s="30">
        <v>41</v>
      </c>
      <c r="BU158" s="30">
        <v>89</v>
      </c>
      <c r="BW158" s="30">
        <v>15</v>
      </c>
      <c r="CC158" s="30">
        <v>0</v>
      </c>
    </row>
    <row r="159" spans="2:81" x14ac:dyDescent="0.2">
      <c r="B159" s="30">
        <v>89</v>
      </c>
      <c r="D159" s="30">
        <v>16</v>
      </c>
      <c r="F159" s="30">
        <v>84</v>
      </c>
      <c r="G159" s="34"/>
      <c r="H159" s="30">
        <v>77</v>
      </c>
      <c r="J159" s="30">
        <v>39</v>
      </c>
      <c r="L159" s="59"/>
      <c r="N159" s="30">
        <v>63</v>
      </c>
      <c r="P159" s="30">
        <v>49</v>
      </c>
      <c r="R159" s="30">
        <v>20</v>
      </c>
      <c r="T159" s="30">
        <v>33</v>
      </c>
      <c r="V159" s="30">
        <v>24</v>
      </c>
      <c r="X159" s="30">
        <v>54</v>
      </c>
      <c r="AA159" s="30">
        <v>5</v>
      </c>
      <c r="AC159" s="30">
        <v>57</v>
      </c>
      <c r="AE159" s="30">
        <v>46</v>
      </c>
      <c r="AG159" s="30">
        <v>15</v>
      </c>
      <c r="AI159" s="30">
        <v>0</v>
      </c>
      <c r="AK159" s="30">
        <v>49</v>
      </c>
      <c r="AM159" s="30">
        <v>13</v>
      </c>
      <c r="AO159" s="30">
        <v>72</v>
      </c>
      <c r="AQ159" s="495">
        <v>17</v>
      </c>
      <c r="AS159" s="30">
        <v>22</v>
      </c>
      <c r="AU159">
        <v>23</v>
      </c>
      <c r="AW159" s="30">
        <v>18</v>
      </c>
      <c r="AY159" s="30">
        <v>18</v>
      </c>
      <c r="BA159" s="30">
        <v>53</v>
      </c>
      <c r="BC159" s="30">
        <v>13</v>
      </c>
      <c r="BE159" s="30">
        <v>32</v>
      </c>
      <c r="BG159" s="30">
        <v>19</v>
      </c>
      <c r="BI159" s="30">
        <v>10</v>
      </c>
      <c r="BK159" s="30">
        <v>37</v>
      </c>
      <c r="BM159" s="769">
        <v>8</v>
      </c>
      <c r="BO159" s="30">
        <v>27</v>
      </c>
      <c r="BQ159" s="30">
        <v>21</v>
      </c>
      <c r="BS159" s="30">
        <v>14</v>
      </c>
      <c r="BU159" s="30">
        <v>47</v>
      </c>
      <c r="BW159" s="30">
        <v>38</v>
      </c>
      <c r="CC159" s="30">
        <v>25</v>
      </c>
    </row>
    <row r="160" spans="2:81" x14ac:dyDescent="0.2">
      <c r="B160" s="30">
        <v>73</v>
      </c>
      <c r="D160" s="30">
        <v>74</v>
      </c>
      <c r="F160" s="30">
        <v>49</v>
      </c>
      <c r="G160" s="34"/>
      <c r="H160" s="30">
        <v>29</v>
      </c>
      <c r="J160" s="30">
        <v>92</v>
      </c>
      <c r="L160" s="30">
        <v>36</v>
      </c>
      <c r="N160" s="30">
        <v>77</v>
      </c>
      <c r="P160" s="30">
        <v>49</v>
      </c>
      <c r="R160" s="30">
        <v>14</v>
      </c>
      <c r="T160" s="30">
        <v>94</v>
      </c>
      <c r="V160" s="30">
        <v>31</v>
      </c>
      <c r="W160" s="30" t="s">
        <v>119</v>
      </c>
      <c r="X160" s="30">
        <v>92</v>
      </c>
      <c r="Y160" s="30" t="s">
        <v>119</v>
      </c>
      <c r="AA160" s="30">
        <v>54</v>
      </c>
      <c r="AB160" s="30" t="s">
        <v>119</v>
      </c>
      <c r="AC160" s="30">
        <v>44</v>
      </c>
      <c r="AE160" s="30">
        <v>15</v>
      </c>
      <c r="AG160" s="30">
        <v>44</v>
      </c>
      <c r="AI160" s="30">
        <v>33</v>
      </c>
      <c r="AK160" s="30">
        <v>26</v>
      </c>
      <c r="AM160" s="30">
        <v>59</v>
      </c>
      <c r="AO160" s="30">
        <v>33</v>
      </c>
      <c r="AQ160" s="495">
        <v>68</v>
      </c>
      <c r="AS160" s="30">
        <v>62</v>
      </c>
      <c r="AU160">
        <v>0</v>
      </c>
      <c r="AW160" s="30">
        <v>0</v>
      </c>
      <c r="AY160" s="30">
        <v>0</v>
      </c>
      <c r="BA160" s="30">
        <v>25</v>
      </c>
      <c r="BC160" s="30">
        <v>21</v>
      </c>
      <c r="BE160" s="30">
        <v>11</v>
      </c>
      <c r="BG160" s="30">
        <v>47</v>
      </c>
      <c r="BI160" s="30">
        <v>64</v>
      </c>
      <c r="BK160" s="30">
        <v>2</v>
      </c>
      <c r="BM160" s="769">
        <v>14</v>
      </c>
      <c r="BO160" s="30">
        <v>16</v>
      </c>
      <c r="BQ160" s="30">
        <v>44</v>
      </c>
      <c r="BS160" s="30">
        <v>74</v>
      </c>
      <c r="BU160" s="30">
        <v>28</v>
      </c>
      <c r="BW160" s="30">
        <v>28</v>
      </c>
      <c r="CC160" s="30">
        <v>25</v>
      </c>
    </row>
    <row r="161" spans="2:81" x14ac:dyDescent="0.2">
      <c r="B161" s="30">
        <v>51</v>
      </c>
      <c r="D161" s="30">
        <v>25</v>
      </c>
      <c r="F161" s="30">
        <v>36</v>
      </c>
      <c r="G161" s="34"/>
      <c r="H161" s="30">
        <v>80</v>
      </c>
      <c r="J161" s="30">
        <v>57</v>
      </c>
      <c r="L161" s="30">
        <v>57</v>
      </c>
      <c r="N161" s="30">
        <v>71</v>
      </c>
      <c r="P161" s="30">
        <v>49</v>
      </c>
      <c r="R161" s="30">
        <v>36</v>
      </c>
      <c r="T161" s="30">
        <v>51</v>
      </c>
      <c r="V161" s="30">
        <v>54</v>
      </c>
      <c r="X161" s="30">
        <v>21</v>
      </c>
      <c r="AA161" s="30">
        <v>92</v>
      </c>
      <c r="AC161" s="30">
        <v>13</v>
      </c>
      <c r="AE161" s="30">
        <v>0</v>
      </c>
      <c r="AF161" s="30" t="s">
        <v>119</v>
      </c>
      <c r="AG161" s="30">
        <v>27</v>
      </c>
      <c r="AH161" s="30" t="s">
        <v>119</v>
      </c>
      <c r="AI161" s="30">
        <v>21</v>
      </c>
      <c r="AJ161" s="30" t="s">
        <v>119</v>
      </c>
      <c r="AK161" s="30">
        <v>0</v>
      </c>
      <c r="AL161" s="30" t="s">
        <v>119</v>
      </c>
      <c r="AM161" s="30">
        <v>28</v>
      </c>
      <c r="AO161" s="30">
        <v>49</v>
      </c>
      <c r="AQ161" s="495">
        <v>42</v>
      </c>
      <c r="AS161" s="30">
        <v>22</v>
      </c>
      <c r="AU161">
        <v>25</v>
      </c>
      <c r="AW161" s="30">
        <v>74</v>
      </c>
      <c r="AY161" s="30">
        <v>74</v>
      </c>
      <c r="BA161" s="30">
        <v>14</v>
      </c>
      <c r="BC161" s="30">
        <v>40</v>
      </c>
      <c r="BE161" s="30">
        <v>57</v>
      </c>
      <c r="BG161" s="30">
        <v>0</v>
      </c>
      <c r="BI161" s="30">
        <v>66</v>
      </c>
      <c r="BK161" s="30">
        <v>17</v>
      </c>
      <c r="BM161" s="769">
        <v>19</v>
      </c>
      <c r="BO161" s="30">
        <v>31</v>
      </c>
      <c r="BQ161" s="30">
        <v>49</v>
      </c>
      <c r="BS161" s="30">
        <v>49</v>
      </c>
      <c r="BU161" s="30">
        <v>53</v>
      </c>
      <c r="BW161" s="30">
        <v>11</v>
      </c>
      <c r="CC161" s="30">
        <v>79</v>
      </c>
    </row>
    <row r="162" spans="2:81" x14ac:dyDescent="0.2">
      <c r="B162" s="30">
        <v>90</v>
      </c>
      <c r="D162" s="30">
        <v>14</v>
      </c>
      <c r="F162" s="30">
        <v>24</v>
      </c>
      <c r="G162" s="34"/>
      <c r="H162" s="30">
        <v>59</v>
      </c>
      <c r="J162" s="30">
        <v>28</v>
      </c>
      <c r="L162" s="30">
        <v>23</v>
      </c>
      <c r="N162" s="30">
        <v>91</v>
      </c>
      <c r="P162" s="30">
        <v>49</v>
      </c>
      <c r="R162" s="30">
        <v>57</v>
      </c>
      <c r="T162" s="30">
        <v>37</v>
      </c>
      <c r="V162" s="30">
        <v>71</v>
      </c>
      <c r="X162" s="30">
        <v>41</v>
      </c>
      <c r="AA162" s="30">
        <v>21</v>
      </c>
      <c r="AC162" s="30">
        <v>76</v>
      </c>
      <c r="AE162" s="30">
        <v>27</v>
      </c>
      <c r="AG162" s="30">
        <v>0</v>
      </c>
      <c r="AI162" s="30">
        <v>24</v>
      </c>
      <c r="AK162" s="30">
        <v>25</v>
      </c>
      <c r="AM162" s="30">
        <v>0</v>
      </c>
      <c r="AO162" s="30">
        <v>31</v>
      </c>
      <c r="AQ162" s="495">
        <v>0</v>
      </c>
      <c r="AS162" s="30">
        <v>11</v>
      </c>
      <c r="AU162">
        <v>75</v>
      </c>
      <c r="AW162" s="30">
        <v>4</v>
      </c>
      <c r="AY162" s="30">
        <v>4</v>
      </c>
      <c r="BA162" s="30">
        <v>11</v>
      </c>
      <c r="BC162" s="30">
        <v>73</v>
      </c>
      <c r="BE162" s="30">
        <v>35</v>
      </c>
      <c r="BG162" s="30">
        <v>64</v>
      </c>
      <c r="BI162" s="30">
        <v>57</v>
      </c>
      <c r="BK162" s="30">
        <v>22</v>
      </c>
      <c r="BM162" s="769">
        <v>18</v>
      </c>
      <c r="BO162" s="30">
        <v>20</v>
      </c>
      <c r="BQ162" s="30">
        <v>86</v>
      </c>
      <c r="BS162" s="30">
        <v>44</v>
      </c>
      <c r="BU162" s="30">
        <v>38</v>
      </c>
      <c r="BW162" s="30">
        <v>45</v>
      </c>
      <c r="CC162" s="30">
        <v>31</v>
      </c>
    </row>
    <row r="163" spans="2:81" x14ac:dyDescent="0.2">
      <c r="B163" s="30">
        <v>56</v>
      </c>
      <c r="D163" s="30">
        <v>33</v>
      </c>
      <c r="F163" s="30">
        <v>29</v>
      </c>
      <c r="G163" s="34"/>
      <c r="H163" s="30">
        <v>36</v>
      </c>
      <c r="J163" s="30">
        <v>50</v>
      </c>
      <c r="L163" s="30">
        <v>28</v>
      </c>
      <c r="N163" s="30">
        <v>77</v>
      </c>
      <c r="P163" s="30">
        <v>49</v>
      </c>
      <c r="R163" s="30">
        <v>66</v>
      </c>
      <c r="T163" s="30">
        <v>36</v>
      </c>
      <c r="V163" s="30">
        <v>79</v>
      </c>
      <c r="X163" s="30">
        <v>51</v>
      </c>
      <c r="AA163" s="30">
        <v>41</v>
      </c>
      <c r="AC163" s="30">
        <v>59</v>
      </c>
      <c r="AE163" s="30">
        <v>71</v>
      </c>
      <c r="AG163" s="30">
        <v>28</v>
      </c>
      <c r="AI163" s="30">
        <v>15</v>
      </c>
      <c r="AK163" s="30">
        <v>31</v>
      </c>
      <c r="AM163" s="30">
        <v>26</v>
      </c>
      <c r="AO163" s="30">
        <v>6</v>
      </c>
      <c r="AQ163" s="495">
        <v>41</v>
      </c>
      <c r="AS163" s="30">
        <v>4</v>
      </c>
      <c r="AU163">
        <v>23</v>
      </c>
      <c r="AW163" s="30">
        <v>81</v>
      </c>
      <c r="AY163" s="30">
        <v>81</v>
      </c>
      <c r="BA163" s="30">
        <v>13</v>
      </c>
      <c r="BC163" s="30">
        <v>26</v>
      </c>
      <c r="BE163" s="30">
        <v>25</v>
      </c>
      <c r="BG163" s="30">
        <v>5</v>
      </c>
      <c r="BI163" s="30">
        <v>22</v>
      </c>
      <c r="BK163" s="30">
        <v>72</v>
      </c>
      <c r="BM163" s="769">
        <v>10</v>
      </c>
      <c r="BO163" s="30">
        <v>35</v>
      </c>
      <c r="BQ163" s="30">
        <v>99</v>
      </c>
      <c r="BS163" s="30">
        <v>16</v>
      </c>
      <c r="BU163" s="30">
        <v>36</v>
      </c>
      <c r="BW163" s="30">
        <v>47</v>
      </c>
      <c r="CC163" s="30">
        <v>34</v>
      </c>
    </row>
    <row r="164" spans="2:81" x14ac:dyDescent="0.2">
      <c r="B164" s="30">
        <v>90</v>
      </c>
      <c r="D164" s="30">
        <v>57</v>
      </c>
      <c r="F164" s="30">
        <v>15</v>
      </c>
      <c r="G164" s="34"/>
      <c r="H164" s="30">
        <v>9</v>
      </c>
      <c r="J164" s="30">
        <v>68</v>
      </c>
      <c r="L164" s="30">
        <v>59</v>
      </c>
      <c r="N164" s="30">
        <v>25</v>
      </c>
      <c r="P164" s="30">
        <v>49</v>
      </c>
      <c r="R164" s="30">
        <v>31</v>
      </c>
      <c r="T164" s="30">
        <v>22</v>
      </c>
      <c r="V164" s="30">
        <v>52</v>
      </c>
      <c r="X164" s="30">
        <v>36</v>
      </c>
      <c r="AA164" s="30">
        <v>51</v>
      </c>
      <c r="AC164" s="30">
        <v>20</v>
      </c>
      <c r="AE164" s="30">
        <v>48</v>
      </c>
      <c r="AG164" s="30">
        <v>19</v>
      </c>
      <c r="AI164" s="30">
        <v>91</v>
      </c>
      <c r="AK164" s="30">
        <v>16</v>
      </c>
      <c r="AM164" s="30">
        <v>25</v>
      </c>
      <c r="AO164" s="30">
        <v>38</v>
      </c>
      <c r="AQ164" s="495">
        <v>26</v>
      </c>
      <c r="AS164" s="30">
        <v>45</v>
      </c>
      <c r="AU164">
        <v>17</v>
      </c>
      <c r="AW164" s="30">
        <v>17</v>
      </c>
      <c r="AY164" s="30">
        <v>17</v>
      </c>
      <c r="BA164" s="30">
        <v>8</v>
      </c>
      <c r="BC164" s="30">
        <v>6</v>
      </c>
      <c r="BE164" s="30">
        <v>7</v>
      </c>
      <c r="BG164" s="30">
        <v>26</v>
      </c>
      <c r="BI164" s="30">
        <v>13</v>
      </c>
      <c r="BK164" s="30">
        <v>34</v>
      </c>
      <c r="BM164" s="769">
        <v>16</v>
      </c>
      <c r="BO164" s="30">
        <v>64</v>
      </c>
      <c r="BQ164" s="30">
        <v>18</v>
      </c>
      <c r="BS164" s="30">
        <v>56</v>
      </c>
      <c r="BU164" s="30">
        <v>90</v>
      </c>
      <c r="BW164" s="30">
        <v>55</v>
      </c>
      <c r="CC164" s="30">
        <v>67</v>
      </c>
    </row>
    <row r="165" spans="2:81" x14ac:dyDescent="0.2">
      <c r="B165" s="30">
        <v>33</v>
      </c>
      <c r="D165" s="30">
        <v>88</v>
      </c>
      <c r="F165" s="30">
        <v>27</v>
      </c>
      <c r="G165" s="34"/>
      <c r="H165" s="30">
        <v>71</v>
      </c>
      <c r="J165" s="30">
        <v>41</v>
      </c>
      <c r="L165" s="30">
        <v>11</v>
      </c>
      <c r="N165" s="30">
        <v>48</v>
      </c>
      <c r="P165" s="30">
        <v>49</v>
      </c>
      <c r="R165" s="30">
        <v>60</v>
      </c>
      <c r="T165" s="30">
        <v>19</v>
      </c>
      <c r="V165" s="30">
        <v>87</v>
      </c>
      <c r="X165" s="30">
        <v>95</v>
      </c>
      <c r="AA165" s="30">
        <v>36</v>
      </c>
      <c r="AC165" s="30">
        <v>32</v>
      </c>
      <c r="AE165" s="30">
        <v>98</v>
      </c>
      <c r="AG165" s="30">
        <v>14</v>
      </c>
      <c r="AI165" s="30">
        <v>81</v>
      </c>
      <c r="AK165" s="30">
        <v>55</v>
      </c>
      <c r="AM165" s="30">
        <v>14</v>
      </c>
      <c r="AO165" s="30">
        <v>61</v>
      </c>
      <c r="AQ165" s="495">
        <v>12</v>
      </c>
      <c r="AS165" s="30">
        <v>36</v>
      </c>
      <c r="AU165">
        <v>0</v>
      </c>
      <c r="AW165" s="30">
        <v>26</v>
      </c>
      <c r="AY165" s="30">
        <v>26</v>
      </c>
      <c r="BA165" s="30">
        <v>34</v>
      </c>
      <c r="BC165" s="30">
        <v>15</v>
      </c>
      <c r="BE165" s="30">
        <v>47</v>
      </c>
      <c r="BG165" s="30">
        <v>31</v>
      </c>
      <c r="BI165" s="30">
        <v>58</v>
      </c>
      <c r="BK165" s="30">
        <v>17</v>
      </c>
      <c r="BM165" s="769">
        <v>17</v>
      </c>
      <c r="BO165" s="30">
        <v>72</v>
      </c>
      <c r="BQ165" s="30">
        <v>8</v>
      </c>
      <c r="BS165" s="30">
        <v>36</v>
      </c>
      <c r="BU165" s="30">
        <v>2</v>
      </c>
      <c r="BW165" s="30">
        <v>15</v>
      </c>
      <c r="CC165" s="30">
        <v>16</v>
      </c>
    </row>
    <row r="166" spans="2:81" x14ac:dyDescent="0.2">
      <c r="B166" s="30">
        <v>92</v>
      </c>
      <c r="D166" s="30">
        <v>43</v>
      </c>
      <c r="F166" s="30">
        <v>84</v>
      </c>
      <c r="G166" s="34"/>
      <c r="H166" s="30">
        <v>72</v>
      </c>
      <c r="J166" s="30">
        <v>5</v>
      </c>
      <c r="L166" s="30">
        <v>55</v>
      </c>
      <c r="N166" s="30">
        <v>26</v>
      </c>
      <c r="P166" s="30">
        <v>49</v>
      </c>
      <c r="R166" s="30">
        <v>69</v>
      </c>
      <c r="T166" s="30">
        <v>10</v>
      </c>
      <c r="V166" s="30">
        <v>70</v>
      </c>
      <c r="X166" s="30">
        <v>43</v>
      </c>
      <c r="AA166" s="30">
        <v>95</v>
      </c>
      <c r="AC166" s="30">
        <v>61</v>
      </c>
      <c r="AE166" s="30">
        <v>30</v>
      </c>
      <c r="AG166" s="30">
        <v>6</v>
      </c>
      <c r="AI166" s="30">
        <v>25</v>
      </c>
      <c r="AK166" s="30">
        <v>85</v>
      </c>
      <c r="AM166" s="30">
        <v>51</v>
      </c>
      <c r="AO166" s="30">
        <v>86</v>
      </c>
      <c r="AQ166" s="495">
        <v>1</v>
      </c>
      <c r="AS166" s="30">
        <v>33</v>
      </c>
      <c r="AU166">
        <v>28</v>
      </c>
      <c r="AW166" s="30">
        <v>18</v>
      </c>
      <c r="AY166" s="30">
        <v>18</v>
      </c>
      <c r="BA166" s="30">
        <v>14</v>
      </c>
      <c r="BC166" s="30">
        <v>24</v>
      </c>
      <c r="BE166" s="30">
        <v>51</v>
      </c>
      <c r="BG166" s="30">
        <v>25</v>
      </c>
      <c r="BI166" s="30">
        <v>88</v>
      </c>
      <c r="BK166" s="30">
        <v>16</v>
      </c>
      <c r="BM166" s="769">
        <v>9</v>
      </c>
      <c r="BO166" s="30">
        <v>78</v>
      </c>
      <c r="BQ166" s="30">
        <v>28</v>
      </c>
      <c r="BS166" s="30">
        <v>40</v>
      </c>
      <c r="BU166" s="30">
        <v>26</v>
      </c>
      <c r="BW166" s="30">
        <v>57</v>
      </c>
      <c r="CC166" s="30">
        <v>13</v>
      </c>
    </row>
    <row r="167" spans="2:81" x14ac:dyDescent="0.2">
      <c r="B167" s="30">
        <v>55</v>
      </c>
      <c r="D167" s="30">
        <v>16</v>
      </c>
      <c r="F167" s="30">
        <v>84</v>
      </c>
      <c r="G167" s="34"/>
      <c r="H167" s="30">
        <v>58</v>
      </c>
      <c r="J167" s="30">
        <v>48</v>
      </c>
      <c r="L167" s="30">
        <v>55</v>
      </c>
      <c r="N167" s="30">
        <v>78</v>
      </c>
      <c r="P167" s="30">
        <v>49</v>
      </c>
      <c r="R167" s="30">
        <v>33</v>
      </c>
      <c r="T167" s="30">
        <v>27</v>
      </c>
      <c r="V167" s="30">
        <v>32</v>
      </c>
      <c r="X167" s="30">
        <v>39</v>
      </c>
      <c r="AA167" s="30">
        <v>43</v>
      </c>
      <c r="AC167" s="30">
        <v>26</v>
      </c>
      <c r="AE167" s="30">
        <v>27</v>
      </c>
      <c r="AG167" s="30">
        <v>61</v>
      </c>
      <c r="AI167" s="30">
        <v>55</v>
      </c>
      <c r="AK167" s="30">
        <v>86</v>
      </c>
      <c r="AM167" s="30">
        <v>86</v>
      </c>
      <c r="AO167" s="30">
        <v>39</v>
      </c>
      <c r="AQ167" s="495">
        <v>63</v>
      </c>
      <c r="AS167" s="30">
        <v>74</v>
      </c>
      <c r="AU167">
        <v>12</v>
      </c>
      <c r="AW167" s="30">
        <v>80</v>
      </c>
      <c r="AY167" s="30">
        <v>80</v>
      </c>
      <c r="BA167" s="30">
        <v>3</v>
      </c>
      <c r="BC167" s="30">
        <v>67</v>
      </c>
      <c r="BE167" s="30">
        <v>12</v>
      </c>
      <c r="BG167" s="30">
        <v>60</v>
      </c>
      <c r="BI167" s="30">
        <v>52</v>
      </c>
      <c r="BK167" s="30">
        <v>78</v>
      </c>
      <c r="BM167" s="769">
        <v>44</v>
      </c>
      <c r="BO167" s="30">
        <v>86</v>
      </c>
      <c r="BQ167" s="30">
        <v>6</v>
      </c>
      <c r="BS167" s="30">
        <v>18</v>
      </c>
      <c r="BU167" s="30">
        <v>13</v>
      </c>
      <c r="BW167" s="30">
        <v>70</v>
      </c>
      <c r="CC167" s="30">
        <v>27</v>
      </c>
    </row>
    <row r="168" spans="2:81" x14ac:dyDescent="0.2">
      <c r="B168" s="30">
        <v>29</v>
      </c>
      <c r="D168" s="30">
        <v>16</v>
      </c>
      <c r="F168" s="30">
        <v>16</v>
      </c>
      <c r="G168" s="34"/>
      <c r="H168" s="30">
        <v>39</v>
      </c>
      <c r="J168" s="30">
        <v>100</v>
      </c>
      <c r="L168" s="30">
        <v>43</v>
      </c>
      <c r="N168" s="30">
        <v>57</v>
      </c>
      <c r="P168" s="30">
        <v>49</v>
      </c>
      <c r="R168" s="30">
        <v>90</v>
      </c>
      <c r="T168" s="30">
        <v>48</v>
      </c>
      <c r="V168" s="30">
        <v>38</v>
      </c>
      <c r="X168" s="30">
        <v>89</v>
      </c>
      <c r="AA168" s="30">
        <v>39</v>
      </c>
      <c r="AC168" s="30">
        <v>13</v>
      </c>
      <c r="AE168" s="30">
        <v>22</v>
      </c>
      <c r="AG168" s="30">
        <v>60</v>
      </c>
      <c r="AI168" s="30">
        <v>59</v>
      </c>
      <c r="AK168" s="30">
        <v>23</v>
      </c>
      <c r="AM168" s="30">
        <v>66</v>
      </c>
      <c r="AO168" s="30">
        <v>23</v>
      </c>
      <c r="AQ168" s="495">
        <v>81</v>
      </c>
      <c r="AS168" s="30">
        <v>93</v>
      </c>
      <c r="AU168">
        <v>73</v>
      </c>
      <c r="AW168" s="30">
        <v>32</v>
      </c>
      <c r="AY168" s="30">
        <v>32</v>
      </c>
      <c r="BA168" s="30">
        <v>2</v>
      </c>
      <c r="BC168" s="30">
        <v>51</v>
      </c>
      <c r="BE168" s="30">
        <v>14</v>
      </c>
      <c r="BG168" s="30">
        <v>46</v>
      </c>
      <c r="BI168" s="30">
        <v>77</v>
      </c>
      <c r="BK168" s="30">
        <v>77</v>
      </c>
      <c r="BM168" s="769">
        <v>41</v>
      </c>
      <c r="BO168" s="30">
        <v>19</v>
      </c>
      <c r="BQ168" s="30">
        <v>12</v>
      </c>
      <c r="BS168" s="30">
        <v>68</v>
      </c>
      <c r="BU168" s="30">
        <v>51</v>
      </c>
      <c r="BW168" s="30">
        <v>42</v>
      </c>
      <c r="CC168" s="30">
        <v>44</v>
      </c>
    </row>
    <row r="169" spans="2:81" x14ac:dyDescent="0.2">
      <c r="B169" s="30">
        <v>39</v>
      </c>
      <c r="D169" s="30">
        <v>54</v>
      </c>
      <c r="F169" s="30">
        <v>68</v>
      </c>
      <c r="G169" s="34"/>
      <c r="H169" s="30">
        <v>78</v>
      </c>
      <c r="J169" s="30">
        <v>23</v>
      </c>
      <c r="L169" s="30">
        <v>60</v>
      </c>
      <c r="N169" s="30">
        <v>46</v>
      </c>
      <c r="P169" s="30">
        <v>49</v>
      </c>
      <c r="R169" s="30">
        <v>56</v>
      </c>
      <c r="T169" s="30">
        <v>46</v>
      </c>
      <c r="V169" s="30">
        <v>20</v>
      </c>
      <c r="X169" s="30">
        <v>43</v>
      </c>
      <c r="AA169" s="30">
        <v>89</v>
      </c>
      <c r="AC169" s="30">
        <v>3</v>
      </c>
      <c r="AE169" s="30">
        <v>2</v>
      </c>
      <c r="AG169" s="30">
        <v>51</v>
      </c>
      <c r="AI169" s="30">
        <v>19</v>
      </c>
      <c r="AK169" s="30">
        <v>52</v>
      </c>
      <c r="AM169" s="30">
        <v>51</v>
      </c>
      <c r="AO169" s="30">
        <v>47</v>
      </c>
      <c r="AQ169" s="495">
        <v>48</v>
      </c>
      <c r="AS169" s="30">
        <v>57</v>
      </c>
      <c r="AU169">
        <v>66</v>
      </c>
      <c r="AW169" s="30">
        <v>27</v>
      </c>
      <c r="AY169" s="30">
        <v>27</v>
      </c>
      <c r="BA169" s="30">
        <v>57</v>
      </c>
      <c r="BC169" s="30">
        <v>33</v>
      </c>
      <c r="BE169" s="30">
        <v>26</v>
      </c>
      <c r="BG169" s="30">
        <v>26</v>
      </c>
      <c r="BI169" s="30">
        <v>24</v>
      </c>
      <c r="BK169" s="30">
        <v>47</v>
      </c>
      <c r="BM169" s="769">
        <v>43</v>
      </c>
      <c r="BO169" s="30">
        <v>10</v>
      </c>
      <c r="BQ169" s="30">
        <v>18</v>
      </c>
      <c r="BS169" s="30">
        <v>13</v>
      </c>
      <c r="BU169" s="30">
        <v>82</v>
      </c>
      <c r="BW169" s="30">
        <v>52</v>
      </c>
      <c r="CC169" s="30">
        <v>6</v>
      </c>
    </row>
    <row r="170" spans="2:81" x14ac:dyDescent="0.2">
      <c r="B170" s="30">
        <v>19</v>
      </c>
      <c r="D170" s="30">
        <v>85</v>
      </c>
      <c r="F170" s="30">
        <v>59</v>
      </c>
      <c r="G170" s="34"/>
      <c r="H170" s="30">
        <v>56</v>
      </c>
      <c r="J170" s="30">
        <v>27</v>
      </c>
      <c r="L170" s="30">
        <v>24</v>
      </c>
      <c r="N170" s="30">
        <v>71</v>
      </c>
      <c r="P170" s="30">
        <v>50</v>
      </c>
      <c r="R170" s="30">
        <v>31</v>
      </c>
      <c r="T170" s="30">
        <v>19</v>
      </c>
      <c r="V170" s="30">
        <v>32</v>
      </c>
      <c r="X170" s="30">
        <v>12</v>
      </c>
      <c r="AA170" s="30">
        <v>43</v>
      </c>
      <c r="AC170" s="30">
        <v>13</v>
      </c>
      <c r="AE170" s="30">
        <v>46</v>
      </c>
      <c r="AG170" s="30">
        <v>38</v>
      </c>
      <c r="AI170" s="30">
        <v>35</v>
      </c>
      <c r="AK170" s="30">
        <v>86</v>
      </c>
      <c r="AM170" s="30">
        <v>37</v>
      </c>
      <c r="AO170" s="30">
        <v>51</v>
      </c>
      <c r="AQ170" s="495">
        <v>56</v>
      </c>
      <c r="AS170" s="30">
        <v>29</v>
      </c>
      <c r="AU170">
        <v>35</v>
      </c>
      <c r="AW170" s="30">
        <v>59</v>
      </c>
      <c r="AY170" s="30">
        <v>59</v>
      </c>
      <c r="BA170" s="30">
        <v>87</v>
      </c>
      <c r="BC170" s="30">
        <v>51</v>
      </c>
      <c r="BE170" s="30">
        <v>52</v>
      </c>
      <c r="BG170" s="30">
        <v>53</v>
      </c>
      <c r="BI170" s="68">
        <f>SUM(BI6:BI169)</f>
        <v>7134</v>
      </c>
      <c r="BK170" s="30">
        <v>27</v>
      </c>
      <c r="BM170" s="769">
        <v>23</v>
      </c>
      <c r="BO170" s="30">
        <v>47</v>
      </c>
      <c r="BQ170" s="30">
        <v>51</v>
      </c>
      <c r="BS170" s="30">
        <v>5</v>
      </c>
      <c r="BU170" s="30">
        <v>36</v>
      </c>
      <c r="BW170" s="30">
        <v>72</v>
      </c>
      <c r="CC170" s="30">
        <v>53</v>
      </c>
    </row>
    <row r="171" spans="2:81" x14ac:dyDescent="0.2">
      <c r="B171" s="30">
        <v>14</v>
      </c>
      <c r="D171" s="30">
        <v>60</v>
      </c>
      <c r="F171" s="30">
        <v>72</v>
      </c>
      <c r="G171" s="34"/>
      <c r="H171" s="30">
        <v>32</v>
      </c>
      <c r="J171" s="30">
        <v>80</v>
      </c>
      <c r="L171" s="30">
        <v>11</v>
      </c>
      <c r="N171" s="30">
        <v>39</v>
      </c>
      <c r="P171" s="30">
        <v>50</v>
      </c>
      <c r="R171" s="30">
        <v>51</v>
      </c>
      <c r="T171" s="30">
        <v>43</v>
      </c>
      <c r="V171" s="30">
        <v>3</v>
      </c>
      <c r="X171" s="30">
        <v>52</v>
      </c>
      <c r="AA171" s="30">
        <v>12</v>
      </c>
      <c r="AC171" s="30">
        <v>37</v>
      </c>
      <c r="AE171" s="30">
        <v>46</v>
      </c>
      <c r="AG171" s="30">
        <v>34</v>
      </c>
      <c r="AI171" s="30">
        <v>10</v>
      </c>
      <c r="AK171" s="30">
        <v>18</v>
      </c>
      <c r="AM171" s="30">
        <v>55</v>
      </c>
      <c r="AO171" s="30">
        <v>26</v>
      </c>
      <c r="AQ171" s="495">
        <v>19</v>
      </c>
      <c r="AS171" s="30">
        <v>0</v>
      </c>
      <c r="AU171">
        <v>35</v>
      </c>
      <c r="AW171" s="30">
        <v>7</v>
      </c>
      <c r="AY171" s="30">
        <v>7</v>
      </c>
      <c r="BA171" s="30">
        <v>12</v>
      </c>
      <c r="BC171" s="30">
        <v>39</v>
      </c>
      <c r="BE171" s="30">
        <v>85</v>
      </c>
      <c r="BG171" s="30">
        <v>85</v>
      </c>
      <c r="BI171" s="30">
        <v>7134</v>
      </c>
      <c r="BK171" s="30">
        <v>26</v>
      </c>
      <c r="BM171" s="769">
        <v>43</v>
      </c>
      <c r="BO171" s="30">
        <v>92</v>
      </c>
      <c r="BQ171" s="30">
        <v>38</v>
      </c>
      <c r="BS171" s="30">
        <v>22</v>
      </c>
      <c r="BU171" s="30">
        <v>20</v>
      </c>
      <c r="BW171" s="30">
        <v>47</v>
      </c>
      <c r="CC171" s="30">
        <v>92</v>
      </c>
    </row>
    <row r="172" spans="2:81" x14ac:dyDescent="0.2">
      <c r="B172" s="30">
        <v>55</v>
      </c>
      <c r="D172" s="30">
        <v>4</v>
      </c>
      <c r="F172" s="30">
        <v>45</v>
      </c>
      <c r="G172" s="34"/>
      <c r="H172" s="30">
        <v>26</v>
      </c>
      <c r="J172" s="30">
        <v>23</v>
      </c>
      <c r="L172" s="30">
        <v>25</v>
      </c>
      <c r="N172" s="30">
        <v>78</v>
      </c>
      <c r="P172" s="30">
        <v>50</v>
      </c>
      <c r="R172" s="30">
        <v>67</v>
      </c>
      <c r="T172" s="30">
        <v>56</v>
      </c>
      <c r="V172" s="30">
        <v>36</v>
      </c>
      <c r="X172" s="30">
        <v>56</v>
      </c>
      <c r="AA172" s="30">
        <v>52</v>
      </c>
      <c r="AC172" s="30">
        <v>47</v>
      </c>
      <c r="AE172" s="30">
        <v>41</v>
      </c>
      <c r="AG172" s="30">
        <v>14</v>
      </c>
      <c r="AI172" s="30">
        <v>92</v>
      </c>
      <c r="AK172" s="30">
        <v>41</v>
      </c>
      <c r="AM172" s="30">
        <v>17</v>
      </c>
      <c r="AO172" s="30">
        <v>24</v>
      </c>
      <c r="AQ172" s="495">
        <v>30</v>
      </c>
      <c r="AS172" s="30">
        <v>14</v>
      </c>
      <c r="AU172">
        <v>14</v>
      </c>
      <c r="AW172" s="30">
        <v>10</v>
      </c>
      <c r="AY172" s="30">
        <v>10</v>
      </c>
      <c r="BA172" s="30">
        <v>13</v>
      </c>
      <c r="BC172" s="30">
        <v>39</v>
      </c>
      <c r="BE172" s="30">
        <v>22</v>
      </c>
      <c r="BG172" s="30">
        <v>19</v>
      </c>
      <c r="BK172" s="30">
        <v>53</v>
      </c>
      <c r="BM172" s="769">
        <v>62</v>
      </c>
      <c r="BO172" s="30">
        <v>52</v>
      </c>
      <c r="BQ172" s="30">
        <v>94</v>
      </c>
      <c r="BS172" s="30">
        <v>42</v>
      </c>
      <c r="BU172" s="30">
        <v>8</v>
      </c>
      <c r="BW172" s="30">
        <v>33</v>
      </c>
      <c r="CC172" s="30">
        <v>7</v>
      </c>
    </row>
    <row r="173" spans="2:81" x14ac:dyDescent="0.2">
      <c r="B173" s="30">
        <v>27</v>
      </c>
      <c r="D173" s="30">
        <v>17</v>
      </c>
      <c r="F173" s="30">
        <v>61</v>
      </c>
      <c r="G173" s="34"/>
      <c r="H173" s="30">
        <v>17</v>
      </c>
      <c r="J173" s="30">
        <v>35</v>
      </c>
      <c r="L173" s="30">
        <v>63</v>
      </c>
      <c r="N173" s="30">
        <v>50</v>
      </c>
      <c r="P173" s="30">
        <v>51</v>
      </c>
      <c r="R173" s="30">
        <v>64</v>
      </c>
      <c r="T173" s="30">
        <v>29</v>
      </c>
      <c r="V173" s="30">
        <v>31</v>
      </c>
      <c r="X173" s="30">
        <v>100</v>
      </c>
      <c r="AA173" s="30">
        <v>56</v>
      </c>
      <c r="AC173" s="30">
        <v>39</v>
      </c>
      <c r="AE173" s="30">
        <v>0</v>
      </c>
      <c r="AG173" s="30">
        <v>24</v>
      </c>
      <c r="AI173" s="30">
        <v>84</v>
      </c>
      <c r="AK173" s="30">
        <v>10</v>
      </c>
      <c r="AM173" s="30">
        <v>7</v>
      </c>
      <c r="AO173" s="30">
        <v>24</v>
      </c>
      <c r="AQ173" s="495">
        <v>9</v>
      </c>
      <c r="AS173" s="30">
        <v>46</v>
      </c>
      <c r="AU173">
        <v>49</v>
      </c>
      <c r="AW173" s="30">
        <v>9</v>
      </c>
      <c r="AY173" s="30">
        <v>9</v>
      </c>
      <c r="BA173" s="30">
        <v>39</v>
      </c>
      <c r="BC173" s="30">
        <v>46</v>
      </c>
      <c r="BE173" s="30">
        <v>75</v>
      </c>
      <c r="BG173" s="30">
        <v>46</v>
      </c>
      <c r="BK173" s="30">
        <v>8</v>
      </c>
      <c r="BM173" s="769">
        <v>55</v>
      </c>
      <c r="BO173" s="30">
        <v>72</v>
      </c>
      <c r="BQ173" s="30">
        <v>58</v>
      </c>
      <c r="BS173" s="30">
        <v>35</v>
      </c>
      <c r="BU173" s="30">
        <v>49</v>
      </c>
      <c r="BW173" s="30">
        <v>35</v>
      </c>
      <c r="CC173" s="30">
        <v>60</v>
      </c>
    </row>
    <row r="174" spans="2:81" x14ac:dyDescent="0.2">
      <c r="B174" s="30">
        <v>44</v>
      </c>
      <c r="D174" s="30">
        <v>61</v>
      </c>
      <c r="F174" s="30">
        <v>64</v>
      </c>
      <c r="G174" s="34"/>
      <c r="H174" s="30">
        <v>61</v>
      </c>
      <c r="J174" s="30">
        <v>20</v>
      </c>
      <c r="L174" s="30">
        <v>97</v>
      </c>
      <c r="N174" s="30">
        <v>57</v>
      </c>
      <c r="P174" s="30">
        <v>51</v>
      </c>
      <c r="R174" s="30">
        <v>74</v>
      </c>
      <c r="T174" s="30">
        <v>81</v>
      </c>
      <c r="V174" s="30">
        <v>82</v>
      </c>
      <c r="X174" s="30">
        <v>55</v>
      </c>
      <c r="AA174" s="30">
        <v>100</v>
      </c>
      <c r="AC174" s="30">
        <v>72</v>
      </c>
      <c r="AE174" s="30">
        <v>47</v>
      </c>
      <c r="AG174" s="30">
        <v>11</v>
      </c>
      <c r="AI174" s="30">
        <v>29</v>
      </c>
      <c r="AK174" s="30">
        <v>99</v>
      </c>
      <c r="AM174" s="30">
        <v>90</v>
      </c>
      <c r="AO174" s="30">
        <v>59</v>
      </c>
      <c r="AQ174" s="495">
        <v>88</v>
      </c>
      <c r="AS174" s="30">
        <v>0</v>
      </c>
      <c r="AU174">
        <v>21</v>
      </c>
      <c r="AW174" s="30">
        <v>14</v>
      </c>
      <c r="AY174" s="30">
        <v>14</v>
      </c>
      <c r="BA174" s="30">
        <v>67</v>
      </c>
      <c r="BC174" s="30">
        <v>7</v>
      </c>
      <c r="BE174" s="30">
        <v>10</v>
      </c>
      <c r="BG174" s="30">
        <v>69</v>
      </c>
      <c r="BK174" s="30">
        <v>39</v>
      </c>
      <c r="BM174" s="769">
        <v>99</v>
      </c>
      <c r="BO174" s="30">
        <v>63</v>
      </c>
      <c r="BQ174" s="30">
        <v>35</v>
      </c>
      <c r="BS174" s="30">
        <v>74</v>
      </c>
      <c r="BU174" s="30">
        <v>35</v>
      </c>
      <c r="BW174" s="30">
        <v>86</v>
      </c>
      <c r="CC174" s="30">
        <v>42</v>
      </c>
    </row>
    <row r="175" spans="2:81" x14ac:dyDescent="0.2">
      <c r="B175" s="30">
        <v>41</v>
      </c>
      <c r="D175" s="30">
        <v>76</v>
      </c>
      <c r="F175" s="30">
        <v>54</v>
      </c>
      <c r="G175" s="34"/>
      <c r="H175" s="30">
        <v>22</v>
      </c>
      <c r="J175" s="30">
        <v>64</v>
      </c>
      <c r="L175" s="30">
        <v>55</v>
      </c>
      <c r="N175" s="30">
        <v>53</v>
      </c>
      <c r="P175" s="30">
        <v>51</v>
      </c>
      <c r="R175" s="30">
        <v>55</v>
      </c>
      <c r="T175" s="30">
        <v>62</v>
      </c>
      <c r="V175" s="30">
        <v>18</v>
      </c>
      <c r="X175" s="30">
        <v>95</v>
      </c>
      <c r="AA175" s="30">
        <v>55</v>
      </c>
      <c r="AC175" s="30">
        <v>38</v>
      </c>
      <c r="AE175" s="30">
        <v>39</v>
      </c>
      <c r="AG175" s="30">
        <v>73</v>
      </c>
      <c r="AI175" s="30">
        <v>22</v>
      </c>
      <c r="AK175" s="30">
        <v>93</v>
      </c>
      <c r="AM175" s="30">
        <v>60</v>
      </c>
      <c r="AO175" s="30">
        <v>57</v>
      </c>
      <c r="AQ175" s="495">
        <v>20</v>
      </c>
      <c r="AS175" s="30">
        <v>57</v>
      </c>
      <c r="AU175">
        <v>8</v>
      </c>
      <c r="AW175" s="30">
        <v>29</v>
      </c>
      <c r="AY175" s="30">
        <v>29</v>
      </c>
      <c r="BA175" s="30">
        <v>33</v>
      </c>
      <c r="BC175" s="30">
        <v>34</v>
      </c>
      <c r="BE175" s="30">
        <v>22</v>
      </c>
      <c r="BG175" s="30">
        <v>85</v>
      </c>
      <c r="BK175" s="30">
        <v>19</v>
      </c>
      <c r="BM175" s="769">
        <v>19</v>
      </c>
      <c r="BO175" s="30">
        <v>81</v>
      </c>
      <c r="BQ175" s="30">
        <v>60</v>
      </c>
      <c r="BS175" s="30">
        <v>36</v>
      </c>
      <c r="BU175" s="30">
        <v>65</v>
      </c>
      <c r="BW175" s="30">
        <v>38</v>
      </c>
      <c r="CC175" s="30">
        <v>36</v>
      </c>
    </row>
    <row r="176" spans="2:81" x14ac:dyDescent="0.2">
      <c r="B176" s="30">
        <v>43</v>
      </c>
      <c r="D176" s="30">
        <v>46</v>
      </c>
      <c r="F176" s="30">
        <v>71</v>
      </c>
      <c r="G176" s="34"/>
      <c r="H176" s="30">
        <v>16</v>
      </c>
      <c r="J176" s="30">
        <v>10</v>
      </c>
      <c r="L176" s="30">
        <v>12</v>
      </c>
      <c r="N176" s="30">
        <v>14</v>
      </c>
      <c r="P176" s="30">
        <v>52</v>
      </c>
      <c r="R176" s="30">
        <v>72</v>
      </c>
      <c r="T176" s="30">
        <v>34</v>
      </c>
      <c r="V176" s="30">
        <v>29</v>
      </c>
      <c r="X176" s="30">
        <v>80</v>
      </c>
      <c r="AA176" s="30">
        <v>95</v>
      </c>
      <c r="AC176" s="30">
        <v>60</v>
      </c>
      <c r="AE176" s="30">
        <v>18</v>
      </c>
      <c r="AG176" s="30">
        <v>54</v>
      </c>
      <c r="AI176" s="30">
        <v>89</v>
      </c>
      <c r="AK176" s="30">
        <v>35</v>
      </c>
      <c r="AM176" s="30">
        <v>55</v>
      </c>
      <c r="AO176" s="30">
        <v>28</v>
      </c>
      <c r="AQ176" s="495">
        <v>69</v>
      </c>
      <c r="AS176" s="30">
        <v>36</v>
      </c>
      <c r="AU176">
        <v>24</v>
      </c>
      <c r="AW176" s="30">
        <v>40</v>
      </c>
      <c r="AY176" s="30">
        <v>40</v>
      </c>
      <c r="BA176" s="30">
        <v>31</v>
      </c>
      <c r="BC176" s="30">
        <v>99</v>
      </c>
      <c r="BE176" s="30">
        <v>14</v>
      </c>
      <c r="BG176" s="30">
        <v>34</v>
      </c>
      <c r="BK176" s="30">
        <v>78</v>
      </c>
      <c r="BM176" s="769">
        <v>53</v>
      </c>
      <c r="BO176" s="30">
        <v>39</v>
      </c>
      <c r="BQ176" s="30">
        <v>36</v>
      </c>
      <c r="BS176" s="30">
        <v>74</v>
      </c>
      <c r="BU176" s="30">
        <v>48</v>
      </c>
      <c r="BW176" s="30">
        <v>49</v>
      </c>
      <c r="CC176" s="30">
        <v>22</v>
      </c>
    </row>
    <row r="177" spans="2:81" x14ac:dyDescent="0.2">
      <c r="B177" s="30">
        <v>59</v>
      </c>
      <c r="D177" s="30">
        <v>54</v>
      </c>
      <c r="F177" s="30">
        <v>30</v>
      </c>
      <c r="G177" s="34"/>
      <c r="H177" s="30">
        <v>83</v>
      </c>
      <c r="J177" s="30">
        <v>43</v>
      </c>
      <c r="L177" s="30">
        <v>15</v>
      </c>
      <c r="N177" s="30">
        <v>26</v>
      </c>
      <c r="P177" s="30">
        <v>52</v>
      </c>
      <c r="R177" s="30">
        <v>74</v>
      </c>
      <c r="T177" s="30">
        <v>38</v>
      </c>
      <c r="V177" s="30">
        <v>26</v>
      </c>
      <c r="X177" s="30">
        <v>36</v>
      </c>
      <c r="AA177" s="30">
        <v>80</v>
      </c>
      <c r="AC177" s="30">
        <v>80</v>
      </c>
      <c r="AE177" s="30">
        <v>28</v>
      </c>
      <c r="AG177" s="30">
        <v>33</v>
      </c>
      <c r="AI177" s="30">
        <v>17</v>
      </c>
      <c r="AK177" s="30">
        <v>44</v>
      </c>
      <c r="AM177" s="30">
        <v>42</v>
      </c>
      <c r="AO177" s="30">
        <v>21</v>
      </c>
      <c r="AQ177" s="495">
        <v>48</v>
      </c>
      <c r="AS177" s="30">
        <v>7</v>
      </c>
      <c r="AU177">
        <v>8</v>
      </c>
      <c r="AW177" s="30">
        <v>85</v>
      </c>
      <c r="AY177" s="30">
        <v>85</v>
      </c>
      <c r="BA177" s="30">
        <v>56</v>
      </c>
      <c r="BC177" s="30">
        <v>33</v>
      </c>
      <c r="BE177" s="30">
        <v>0</v>
      </c>
      <c r="BG177" s="30">
        <v>77</v>
      </c>
      <c r="BK177" s="30">
        <v>36</v>
      </c>
      <c r="BM177" s="769">
        <v>90</v>
      </c>
      <c r="BO177" s="30">
        <v>48</v>
      </c>
      <c r="BQ177" s="30">
        <v>68</v>
      </c>
      <c r="BS177" s="30">
        <v>29</v>
      </c>
      <c r="BU177" s="30">
        <v>36</v>
      </c>
      <c r="BW177" s="30">
        <v>28</v>
      </c>
      <c r="CC177" s="30">
        <v>62</v>
      </c>
    </row>
    <row r="178" spans="2:81" x14ac:dyDescent="0.2">
      <c r="B178" s="30">
        <v>30</v>
      </c>
      <c r="D178" s="30">
        <v>58</v>
      </c>
      <c r="F178" s="30">
        <v>39</v>
      </c>
      <c r="G178" s="34"/>
      <c r="H178" s="30">
        <v>61</v>
      </c>
      <c r="J178" s="30">
        <v>53</v>
      </c>
      <c r="L178" s="30">
        <v>3</v>
      </c>
      <c r="N178" s="30">
        <v>67</v>
      </c>
      <c r="P178" s="30">
        <v>52</v>
      </c>
      <c r="R178" s="30">
        <v>82</v>
      </c>
      <c r="T178" s="30">
        <v>32</v>
      </c>
      <c r="V178" s="30">
        <v>10</v>
      </c>
      <c r="X178" s="30">
        <v>84</v>
      </c>
      <c r="AA178" s="30">
        <v>36</v>
      </c>
      <c r="AC178" s="30">
        <v>50</v>
      </c>
      <c r="AE178" s="30">
        <v>61</v>
      </c>
      <c r="AG178" s="30">
        <v>25</v>
      </c>
      <c r="AI178" s="30">
        <v>15</v>
      </c>
      <c r="AK178" s="30">
        <v>87</v>
      </c>
      <c r="AM178" s="30">
        <v>22</v>
      </c>
      <c r="AO178" s="30">
        <v>67</v>
      </c>
      <c r="AQ178" s="495">
        <v>5</v>
      </c>
      <c r="AS178" s="30">
        <v>59</v>
      </c>
      <c r="AU178">
        <v>22</v>
      </c>
      <c r="AW178" s="30">
        <v>44</v>
      </c>
      <c r="AY178" s="30">
        <v>44</v>
      </c>
      <c r="BA178" s="30">
        <v>7</v>
      </c>
      <c r="BC178" s="30">
        <v>1</v>
      </c>
      <c r="BE178" s="30">
        <v>14</v>
      </c>
      <c r="BG178" s="30">
        <v>9</v>
      </c>
      <c r="BK178" s="30">
        <v>56</v>
      </c>
      <c r="BM178" s="769">
        <v>36</v>
      </c>
      <c r="BO178" s="30">
        <v>48</v>
      </c>
      <c r="BQ178" s="30">
        <v>98</v>
      </c>
      <c r="BS178" s="30">
        <v>81</v>
      </c>
      <c r="BU178" s="30">
        <v>11</v>
      </c>
      <c r="BW178" s="30">
        <v>22</v>
      </c>
      <c r="CC178" s="30">
        <v>6</v>
      </c>
    </row>
    <row r="179" spans="2:81" x14ac:dyDescent="0.2">
      <c r="B179" s="30">
        <v>31</v>
      </c>
      <c r="D179" s="30">
        <v>34</v>
      </c>
      <c r="F179" s="30">
        <v>79</v>
      </c>
      <c r="G179" s="34"/>
      <c r="H179" s="30">
        <v>38</v>
      </c>
      <c r="J179" s="30">
        <v>50</v>
      </c>
      <c r="L179" s="30">
        <v>100</v>
      </c>
      <c r="N179" s="30">
        <v>9</v>
      </c>
      <c r="P179" s="30">
        <v>53</v>
      </c>
      <c r="R179" s="30">
        <v>59</v>
      </c>
      <c r="T179" s="30">
        <v>63</v>
      </c>
      <c r="V179" s="30">
        <v>28</v>
      </c>
      <c r="X179" s="30">
        <v>43</v>
      </c>
      <c r="AA179" s="30">
        <v>84</v>
      </c>
      <c r="AC179" s="30">
        <v>89</v>
      </c>
      <c r="AE179" s="30">
        <v>43</v>
      </c>
      <c r="AG179" s="30">
        <v>19</v>
      </c>
      <c r="AI179" s="30">
        <v>94</v>
      </c>
      <c r="AK179" s="30">
        <v>19</v>
      </c>
      <c r="AM179" s="30">
        <v>82</v>
      </c>
      <c r="AO179" s="30">
        <v>73</v>
      </c>
      <c r="AQ179" s="495">
        <v>96</v>
      </c>
      <c r="AS179" s="30">
        <v>92</v>
      </c>
      <c r="AU179">
        <v>78</v>
      </c>
      <c r="AW179" s="30">
        <v>32</v>
      </c>
      <c r="AY179" s="30">
        <v>32</v>
      </c>
      <c r="BA179" s="30">
        <v>21</v>
      </c>
      <c r="BC179" s="30">
        <v>15</v>
      </c>
      <c r="BE179" s="30">
        <v>39</v>
      </c>
      <c r="BG179" s="30">
        <v>0</v>
      </c>
      <c r="BK179" s="30">
        <v>49</v>
      </c>
      <c r="BM179" s="769">
        <v>25</v>
      </c>
      <c r="BO179" s="30">
        <v>10</v>
      </c>
      <c r="BQ179" s="30">
        <v>65</v>
      </c>
      <c r="BS179" s="30">
        <v>9</v>
      </c>
      <c r="BU179" s="30">
        <v>34</v>
      </c>
      <c r="BW179" s="30">
        <v>25</v>
      </c>
      <c r="CC179" s="30">
        <v>31</v>
      </c>
    </row>
    <row r="180" spans="2:81" x14ac:dyDescent="0.2">
      <c r="B180" s="30">
        <v>36</v>
      </c>
      <c r="D180" s="30">
        <v>80</v>
      </c>
      <c r="F180" s="30">
        <v>31</v>
      </c>
      <c r="G180" s="34"/>
      <c r="H180" s="30">
        <v>83</v>
      </c>
      <c r="J180" s="30">
        <v>46</v>
      </c>
      <c r="L180" s="30">
        <v>35</v>
      </c>
      <c r="N180" s="30">
        <v>43</v>
      </c>
      <c r="P180" s="30">
        <v>53</v>
      </c>
      <c r="R180" s="30">
        <v>51</v>
      </c>
      <c r="T180" s="30">
        <v>82</v>
      </c>
      <c r="V180" s="30">
        <v>65</v>
      </c>
      <c r="X180" s="30">
        <v>42</v>
      </c>
      <c r="AA180" s="30">
        <v>43</v>
      </c>
      <c r="AC180" s="30">
        <v>94</v>
      </c>
      <c r="AE180" s="30">
        <v>44</v>
      </c>
      <c r="AG180" s="30">
        <v>69</v>
      </c>
      <c r="AI180" s="30">
        <v>52</v>
      </c>
      <c r="AK180" s="30">
        <v>94</v>
      </c>
      <c r="AM180" s="30">
        <v>68</v>
      </c>
      <c r="AO180" s="30">
        <v>3</v>
      </c>
      <c r="AQ180" s="495">
        <v>76</v>
      </c>
      <c r="AS180" s="30">
        <v>26</v>
      </c>
      <c r="AU180">
        <v>48</v>
      </c>
      <c r="AW180" s="30">
        <v>52</v>
      </c>
      <c r="AY180" s="30">
        <v>52</v>
      </c>
      <c r="BA180" s="30">
        <v>0</v>
      </c>
      <c r="BC180" s="30">
        <v>9</v>
      </c>
      <c r="BE180" s="30">
        <v>7</v>
      </c>
      <c r="BG180" s="30">
        <v>1</v>
      </c>
      <c r="BK180" s="30">
        <v>45</v>
      </c>
      <c r="BM180" s="769">
        <v>39</v>
      </c>
      <c r="BO180" s="30">
        <v>89</v>
      </c>
      <c r="BQ180" s="30">
        <v>12</v>
      </c>
      <c r="BS180" s="30">
        <v>57</v>
      </c>
      <c r="BU180" s="30">
        <v>91</v>
      </c>
      <c r="BW180" s="30">
        <v>53</v>
      </c>
      <c r="CC180" s="30">
        <v>70</v>
      </c>
    </row>
    <row r="181" spans="2:81" x14ac:dyDescent="0.2">
      <c r="B181" s="30">
        <v>18</v>
      </c>
      <c r="D181" s="30">
        <v>79</v>
      </c>
      <c r="F181" s="30">
        <v>70</v>
      </c>
      <c r="G181" s="34"/>
      <c r="H181" s="30">
        <v>99</v>
      </c>
      <c r="J181" s="30">
        <v>12</v>
      </c>
      <c r="L181" s="30">
        <v>35</v>
      </c>
      <c r="N181" s="30">
        <v>42</v>
      </c>
      <c r="P181" s="30">
        <v>53</v>
      </c>
      <c r="R181" s="30">
        <v>58</v>
      </c>
      <c r="T181" s="30">
        <v>0</v>
      </c>
      <c r="V181" s="30">
        <v>67</v>
      </c>
      <c r="X181" s="30">
        <v>45</v>
      </c>
      <c r="AA181" s="30">
        <v>42</v>
      </c>
      <c r="AC181" s="30">
        <v>62</v>
      </c>
      <c r="AE181" s="30">
        <v>28</v>
      </c>
      <c r="AG181" s="30">
        <v>19</v>
      </c>
      <c r="AI181" s="30">
        <v>20</v>
      </c>
      <c r="AK181" s="30">
        <v>96</v>
      </c>
      <c r="AM181" s="30">
        <v>20</v>
      </c>
      <c r="AO181" s="30">
        <v>70</v>
      </c>
      <c r="AQ181" s="495">
        <v>15</v>
      </c>
      <c r="AS181" s="30">
        <v>54</v>
      </c>
      <c r="AU181">
        <v>60</v>
      </c>
      <c r="AW181" s="30">
        <v>0</v>
      </c>
      <c r="AY181" s="30">
        <v>0</v>
      </c>
      <c r="BA181" s="30">
        <v>23</v>
      </c>
      <c r="BC181" s="30">
        <v>10</v>
      </c>
      <c r="BE181" s="30">
        <v>62</v>
      </c>
      <c r="BG181" s="30">
        <v>44</v>
      </c>
      <c r="BK181" s="30">
        <v>26</v>
      </c>
      <c r="BM181" s="769">
        <v>72</v>
      </c>
      <c r="BO181" s="30">
        <v>24</v>
      </c>
      <c r="BQ181" s="30">
        <v>46</v>
      </c>
      <c r="BS181" s="30">
        <v>93</v>
      </c>
      <c r="BU181" s="30">
        <v>76</v>
      </c>
      <c r="BW181" s="30">
        <v>51</v>
      </c>
      <c r="CC181" s="30">
        <v>36</v>
      </c>
    </row>
    <row r="182" spans="2:81" x14ac:dyDescent="0.2">
      <c r="B182" s="30">
        <v>94</v>
      </c>
      <c r="D182" s="30">
        <v>37</v>
      </c>
      <c r="F182" s="30">
        <v>28</v>
      </c>
      <c r="G182" s="34"/>
      <c r="H182" s="30">
        <v>16</v>
      </c>
      <c r="J182" s="30">
        <v>37</v>
      </c>
      <c r="L182" s="30">
        <v>8</v>
      </c>
      <c r="N182" s="30">
        <v>34</v>
      </c>
      <c r="P182" s="30">
        <v>54</v>
      </c>
      <c r="R182" s="30">
        <v>17</v>
      </c>
      <c r="T182" s="30">
        <v>46</v>
      </c>
      <c r="V182" s="30">
        <v>69</v>
      </c>
      <c r="X182" s="30">
        <v>30</v>
      </c>
      <c r="AA182" s="30">
        <v>45</v>
      </c>
      <c r="AC182" s="30">
        <v>91</v>
      </c>
      <c r="AE182" s="30">
        <v>48</v>
      </c>
      <c r="AG182" s="30">
        <v>12</v>
      </c>
      <c r="AI182" s="30">
        <v>39</v>
      </c>
      <c r="AK182" s="30">
        <v>48</v>
      </c>
      <c r="AM182" s="30">
        <v>13</v>
      </c>
      <c r="AO182" s="30">
        <v>32</v>
      </c>
      <c r="AQ182" s="495">
        <v>19</v>
      </c>
      <c r="AS182" s="30">
        <v>81</v>
      </c>
      <c r="AU182">
        <v>91</v>
      </c>
      <c r="AW182" s="30">
        <v>18</v>
      </c>
      <c r="AY182" s="30">
        <v>18</v>
      </c>
      <c r="BA182" s="30">
        <v>1</v>
      </c>
      <c r="BC182" s="30">
        <v>63</v>
      </c>
      <c r="BE182" s="30">
        <v>29</v>
      </c>
      <c r="BG182" s="30">
        <v>98</v>
      </c>
      <c r="BK182" s="30">
        <v>13</v>
      </c>
      <c r="BM182" s="769">
        <v>13</v>
      </c>
      <c r="BO182" s="30">
        <v>23</v>
      </c>
      <c r="BQ182" s="30">
        <v>34</v>
      </c>
      <c r="BS182" s="30">
        <v>80</v>
      </c>
      <c r="BU182" s="30">
        <v>82</v>
      </c>
      <c r="BW182" s="30">
        <v>9</v>
      </c>
      <c r="CC182" s="30">
        <v>71</v>
      </c>
    </row>
    <row r="183" spans="2:81" x14ac:dyDescent="0.2">
      <c r="B183" s="30">
        <v>40</v>
      </c>
      <c r="D183" s="30">
        <v>63</v>
      </c>
      <c r="F183" s="30">
        <v>40</v>
      </c>
      <c r="G183" s="34"/>
      <c r="H183" s="30">
        <v>54</v>
      </c>
      <c r="J183" s="30">
        <v>40</v>
      </c>
      <c r="L183" s="30">
        <v>10</v>
      </c>
      <c r="N183" s="30">
        <v>41</v>
      </c>
      <c r="P183" s="30">
        <v>55</v>
      </c>
      <c r="R183" s="30">
        <v>25</v>
      </c>
      <c r="T183" s="30">
        <v>74</v>
      </c>
      <c r="V183" s="30">
        <v>66</v>
      </c>
      <c r="X183" s="30">
        <v>38</v>
      </c>
      <c r="AA183" s="30">
        <v>30</v>
      </c>
      <c r="AC183" s="30">
        <v>5</v>
      </c>
      <c r="AE183" s="30">
        <v>17</v>
      </c>
      <c r="AG183" s="30">
        <v>71</v>
      </c>
      <c r="AI183" s="30">
        <v>93</v>
      </c>
      <c r="AK183" s="30">
        <v>18</v>
      </c>
      <c r="AM183" s="30">
        <v>78</v>
      </c>
      <c r="AO183" s="30">
        <v>57</v>
      </c>
      <c r="AQ183" s="495">
        <v>96</v>
      </c>
      <c r="AS183" s="30">
        <v>23</v>
      </c>
      <c r="AU183">
        <v>6</v>
      </c>
      <c r="AW183" s="30">
        <v>47</v>
      </c>
      <c r="AY183" s="30">
        <v>47</v>
      </c>
      <c r="BA183" s="30">
        <v>31</v>
      </c>
      <c r="BC183" s="30">
        <v>15</v>
      </c>
      <c r="BE183" s="30">
        <v>34</v>
      </c>
      <c r="BG183" s="30">
        <v>81</v>
      </c>
      <c r="BK183" s="30">
        <v>60</v>
      </c>
      <c r="BM183" s="769">
        <v>46</v>
      </c>
      <c r="BO183" s="30">
        <v>30</v>
      </c>
      <c r="BQ183" s="30">
        <v>75</v>
      </c>
      <c r="BS183" s="30">
        <v>29</v>
      </c>
      <c r="BU183" s="30">
        <v>99</v>
      </c>
      <c r="BW183" s="30">
        <v>16</v>
      </c>
      <c r="CC183" s="30">
        <v>60</v>
      </c>
    </row>
    <row r="184" spans="2:81" x14ac:dyDescent="0.2">
      <c r="B184" s="30">
        <v>45</v>
      </c>
      <c r="D184" s="30">
        <v>57</v>
      </c>
      <c r="F184" s="30">
        <v>24</v>
      </c>
      <c r="G184" s="34"/>
      <c r="H184" s="30">
        <v>35</v>
      </c>
      <c r="J184" s="30">
        <v>9</v>
      </c>
      <c r="L184" s="30">
        <v>18</v>
      </c>
      <c r="N184" s="30">
        <v>14</v>
      </c>
      <c r="P184" s="30">
        <v>55</v>
      </c>
      <c r="R184" s="30">
        <v>11</v>
      </c>
      <c r="T184" s="30">
        <v>62</v>
      </c>
      <c r="V184" s="30">
        <v>23</v>
      </c>
      <c r="X184" s="30">
        <v>86</v>
      </c>
      <c r="AA184" s="30">
        <v>38</v>
      </c>
      <c r="AC184" s="30">
        <v>51</v>
      </c>
      <c r="AE184" s="30">
        <v>13</v>
      </c>
      <c r="AG184" s="30">
        <v>71</v>
      </c>
      <c r="AI184" s="30">
        <v>13</v>
      </c>
      <c r="AK184" s="30">
        <v>39</v>
      </c>
      <c r="AM184" s="30">
        <v>70</v>
      </c>
      <c r="AO184" s="30">
        <v>43</v>
      </c>
      <c r="AQ184" s="495">
        <v>85</v>
      </c>
      <c r="AS184" s="30">
        <v>10</v>
      </c>
      <c r="AU184">
        <v>26</v>
      </c>
      <c r="AW184" s="30">
        <v>91</v>
      </c>
      <c r="AY184" s="30">
        <v>91</v>
      </c>
      <c r="BA184" s="30">
        <v>0</v>
      </c>
      <c r="BC184" s="30">
        <v>32</v>
      </c>
      <c r="BE184" s="30">
        <v>73</v>
      </c>
      <c r="BG184" s="30">
        <v>60</v>
      </c>
      <c r="BK184" s="30">
        <v>16</v>
      </c>
      <c r="BM184" s="769">
        <v>88</v>
      </c>
      <c r="BO184" s="30">
        <v>35</v>
      </c>
      <c r="BQ184" s="30">
        <v>77</v>
      </c>
      <c r="BS184" s="30">
        <v>22</v>
      </c>
      <c r="BU184" s="30">
        <v>12</v>
      </c>
      <c r="BW184" s="30">
        <v>80</v>
      </c>
      <c r="CC184" s="30">
        <v>9</v>
      </c>
    </row>
    <row r="185" spans="2:81" x14ac:dyDescent="0.2">
      <c r="B185" s="30">
        <v>75</v>
      </c>
      <c r="D185" s="30">
        <v>44</v>
      </c>
      <c r="F185" s="30">
        <v>11</v>
      </c>
      <c r="G185" s="34"/>
      <c r="H185" s="30">
        <v>31</v>
      </c>
      <c r="J185" s="30">
        <v>49</v>
      </c>
      <c r="L185" s="30">
        <v>6</v>
      </c>
      <c r="N185" s="30">
        <v>7</v>
      </c>
      <c r="P185" s="30">
        <v>56</v>
      </c>
      <c r="R185" s="30">
        <v>25</v>
      </c>
      <c r="T185" s="30">
        <v>79</v>
      </c>
      <c r="V185" s="30">
        <v>69</v>
      </c>
      <c r="X185" s="30">
        <v>4</v>
      </c>
      <c r="AA185" s="30">
        <v>86</v>
      </c>
      <c r="AC185" s="30">
        <v>19</v>
      </c>
      <c r="AE185" s="30">
        <v>14</v>
      </c>
      <c r="AG185" s="30">
        <v>40</v>
      </c>
      <c r="AI185" s="30">
        <v>37</v>
      </c>
      <c r="AK185" s="30">
        <v>83</v>
      </c>
      <c r="AM185" s="30">
        <v>29</v>
      </c>
      <c r="AO185" s="30">
        <v>17</v>
      </c>
      <c r="AQ185" s="495">
        <v>33</v>
      </c>
      <c r="AS185" s="30">
        <v>31</v>
      </c>
      <c r="AU185">
        <v>37</v>
      </c>
      <c r="AW185" s="30">
        <v>0</v>
      </c>
      <c r="AY185" s="30">
        <v>0</v>
      </c>
      <c r="BA185" s="30">
        <v>17</v>
      </c>
      <c r="BC185" s="30">
        <v>82</v>
      </c>
      <c r="BE185" s="30">
        <v>12</v>
      </c>
      <c r="BG185" s="30">
        <v>54</v>
      </c>
      <c r="BK185" s="30">
        <v>51</v>
      </c>
      <c r="BM185" s="769">
        <v>36</v>
      </c>
      <c r="BO185" s="30">
        <v>21</v>
      </c>
      <c r="BQ185" s="30">
        <v>71</v>
      </c>
      <c r="BS185" s="30">
        <v>53</v>
      </c>
      <c r="BU185" s="30">
        <v>47</v>
      </c>
      <c r="BW185" s="30">
        <v>74</v>
      </c>
      <c r="CC185" s="30">
        <v>56</v>
      </c>
    </row>
    <row r="186" spans="2:81" x14ac:dyDescent="0.2">
      <c r="B186" s="30">
        <v>78</v>
      </c>
      <c r="D186" s="30">
        <v>22</v>
      </c>
      <c r="F186" s="30">
        <v>58</v>
      </c>
      <c r="G186" s="34"/>
      <c r="H186" s="30">
        <v>5</v>
      </c>
      <c r="J186" s="30">
        <v>88</v>
      </c>
      <c r="L186" s="30">
        <v>16</v>
      </c>
      <c r="N186" s="30">
        <v>18</v>
      </c>
      <c r="P186" s="30">
        <v>56</v>
      </c>
      <c r="R186" s="30">
        <v>53</v>
      </c>
      <c r="T186" s="30">
        <v>45</v>
      </c>
      <c r="V186" s="30">
        <v>17</v>
      </c>
      <c r="X186" s="30">
        <v>22</v>
      </c>
      <c r="AA186" s="30">
        <v>4</v>
      </c>
      <c r="AC186" s="30">
        <v>68</v>
      </c>
      <c r="AE186" s="30">
        <v>12</v>
      </c>
      <c r="AG186" s="30">
        <v>20</v>
      </c>
      <c r="AI186" s="30">
        <v>3</v>
      </c>
      <c r="AK186" s="30">
        <v>17</v>
      </c>
      <c r="AM186" s="30">
        <v>18</v>
      </c>
      <c r="AO186" s="30">
        <v>61</v>
      </c>
      <c r="AQ186" s="495">
        <v>20</v>
      </c>
      <c r="AS186" s="30">
        <v>23</v>
      </c>
      <c r="AU186">
        <v>15</v>
      </c>
      <c r="AW186" s="30">
        <v>40</v>
      </c>
      <c r="AY186" s="30">
        <v>40</v>
      </c>
      <c r="BA186" s="30">
        <v>32</v>
      </c>
      <c r="BC186" s="30">
        <v>35</v>
      </c>
      <c r="BE186" s="30">
        <v>22</v>
      </c>
      <c r="BG186" s="30">
        <v>48</v>
      </c>
      <c r="BK186" s="30">
        <v>68</v>
      </c>
      <c r="BM186" s="769">
        <v>51</v>
      </c>
      <c r="BO186" s="30">
        <v>33</v>
      </c>
      <c r="BQ186" s="30">
        <v>65</v>
      </c>
      <c r="BS186" s="30">
        <v>41</v>
      </c>
      <c r="BU186" s="30">
        <v>18</v>
      </c>
      <c r="BW186" s="30">
        <v>52</v>
      </c>
      <c r="CC186" s="30">
        <v>5</v>
      </c>
    </row>
    <row r="187" spans="2:81" x14ac:dyDescent="0.2">
      <c r="B187" s="30">
        <v>42</v>
      </c>
      <c r="D187" s="30">
        <v>32</v>
      </c>
      <c r="F187" s="30">
        <v>65</v>
      </c>
      <c r="G187" s="34"/>
      <c r="H187" s="30">
        <v>50</v>
      </c>
      <c r="J187" s="30">
        <v>32</v>
      </c>
      <c r="L187" s="30">
        <v>81</v>
      </c>
      <c r="N187" s="30">
        <v>54</v>
      </c>
      <c r="P187" s="30">
        <v>56</v>
      </c>
      <c r="R187" s="30">
        <v>92</v>
      </c>
      <c r="T187" s="30">
        <v>49</v>
      </c>
      <c r="V187" s="30">
        <v>15</v>
      </c>
      <c r="X187" s="30">
        <v>32</v>
      </c>
      <c r="AA187" s="30">
        <v>22</v>
      </c>
      <c r="AC187" s="30">
        <v>6</v>
      </c>
      <c r="AE187" s="30">
        <v>62</v>
      </c>
      <c r="AG187" s="30">
        <v>57</v>
      </c>
      <c r="AI187" s="30">
        <v>0</v>
      </c>
      <c r="AK187" s="30">
        <v>32</v>
      </c>
      <c r="AM187" s="30">
        <v>45</v>
      </c>
      <c r="AO187" s="30">
        <v>53</v>
      </c>
      <c r="AQ187" s="495">
        <v>54</v>
      </c>
      <c r="AS187" s="30">
        <v>68</v>
      </c>
      <c r="AU187">
        <v>23</v>
      </c>
      <c r="AW187" s="30">
        <v>99</v>
      </c>
      <c r="AY187" s="30">
        <v>99</v>
      </c>
      <c r="BA187" s="30">
        <v>0</v>
      </c>
      <c r="BC187" s="30">
        <v>89</v>
      </c>
      <c r="BE187" s="30">
        <v>40</v>
      </c>
      <c r="BG187" s="30">
        <v>10</v>
      </c>
      <c r="BK187" s="30">
        <v>23</v>
      </c>
      <c r="BM187" s="769">
        <v>65</v>
      </c>
      <c r="BO187" s="30">
        <v>39</v>
      </c>
      <c r="BQ187" s="30">
        <v>37</v>
      </c>
      <c r="BS187" s="30">
        <v>62</v>
      </c>
      <c r="BU187" s="30">
        <v>13</v>
      </c>
      <c r="BW187" s="30">
        <v>37</v>
      </c>
      <c r="CC187" s="30">
        <v>57</v>
      </c>
    </row>
    <row r="188" spans="2:81" x14ac:dyDescent="0.2">
      <c r="B188" s="30">
        <v>11</v>
      </c>
      <c r="D188" s="30">
        <v>48</v>
      </c>
      <c r="F188" s="30">
        <v>39</v>
      </c>
      <c r="G188" s="34"/>
      <c r="H188" s="30">
        <v>92</v>
      </c>
      <c r="J188" s="30">
        <v>28</v>
      </c>
      <c r="L188" s="30">
        <v>21</v>
      </c>
      <c r="N188" s="30">
        <v>82</v>
      </c>
      <c r="P188" s="30">
        <v>56</v>
      </c>
      <c r="R188" s="30">
        <v>46</v>
      </c>
      <c r="T188" s="30">
        <v>54</v>
      </c>
      <c r="V188" s="30">
        <v>60</v>
      </c>
      <c r="X188" s="30">
        <v>10</v>
      </c>
      <c r="AA188" s="30">
        <v>32</v>
      </c>
      <c r="AC188" s="30">
        <v>23</v>
      </c>
      <c r="AE188" s="30">
        <v>28</v>
      </c>
      <c r="AG188" s="30">
        <v>59</v>
      </c>
      <c r="AI188" s="30">
        <v>53</v>
      </c>
      <c r="AK188" s="30">
        <v>99</v>
      </c>
      <c r="AM188" s="30">
        <v>72</v>
      </c>
      <c r="AO188" s="30">
        <v>56</v>
      </c>
      <c r="AQ188" s="495">
        <v>47</v>
      </c>
      <c r="AS188" s="30">
        <v>45</v>
      </c>
      <c r="AU188">
        <v>69</v>
      </c>
      <c r="AW188" s="30">
        <v>32</v>
      </c>
      <c r="AY188" s="30">
        <v>32</v>
      </c>
      <c r="BA188" s="30">
        <v>97</v>
      </c>
      <c r="BC188" s="30">
        <v>8</v>
      </c>
      <c r="BE188" s="30">
        <v>51</v>
      </c>
      <c r="BG188" s="30">
        <v>0</v>
      </c>
      <c r="BK188" s="30">
        <v>51</v>
      </c>
      <c r="BM188" s="769">
        <v>14</v>
      </c>
      <c r="BO188" s="30">
        <v>66</v>
      </c>
      <c r="BQ188" s="30">
        <v>14</v>
      </c>
      <c r="BS188" s="30">
        <v>75</v>
      </c>
      <c r="BU188" s="30">
        <v>94</v>
      </c>
      <c r="BW188" s="30">
        <v>45</v>
      </c>
      <c r="CC188" s="30">
        <v>85</v>
      </c>
    </row>
    <row r="189" spans="2:81" x14ac:dyDescent="0.2">
      <c r="B189" s="30">
        <v>65</v>
      </c>
      <c r="D189" s="30">
        <v>52</v>
      </c>
      <c r="F189" s="30">
        <v>50</v>
      </c>
      <c r="G189" s="34"/>
      <c r="H189" s="30">
        <v>87</v>
      </c>
      <c r="J189" s="30">
        <v>54</v>
      </c>
      <c r="L189" s="30">
        <v>15</v>
      </c>
      <c r="N189" s="30">
        <v>45</v>
      </c>
      <c r="P189" s="30">
        <v>56</v>
      </c>
      <c r="R189" s="30">
        <v>14</v>
      </c>
      <c r="T189" s="30">
        <v>21</v>
      </c>
      <c r="V189" s="30">
        <v>36</v>
      </c>
      <c r="X189" s="30">
        <v>17</v>
      </c>
      <c r="AA189" s="30">
        <v>10</v>
      </c>
      <c r="AC189" s="30">
        <v>46</v>
      </c>
      <c r="AE189" s="30">
        <v>6</v>
      </c>
      <c r="AG189" s="30">
        <v>15</v>
      </c>
      <c r="AI189" s="30">
        <v>1</v>
      </c>
      <c r="AK189" s="30">
        <v>68</v>
      </c>
      <c r="AM189" s="30">
        <v>19</v>
      </c>
      <c r="AO189" s="30">
        <v>6</v>
      </c>
      <c r="AQ189" s="495">
        <v>15</v>
      </c>
      <c r="AS189" s="30">
        <v>28</v>
      </c>
      <c r="AU189">
        <v>24</v>
      </c>
      <c r="AW189" s="30">
        <v>4</v>
      </c>
      <c r="AY189" s="30">
        <v>4</v>
      </c>
      <c r="BA189" s="30">
        <v>55</v>
      </c>
      <c r="BC189" s="30">
        <v>0</v>
      </c>
      <c r="BE189" s="30">
        <v>22</v>
      </c>
      <c r="BG189" s="30">
        <v>100</v>
      </c>
      <c r="BK189" s="30">
        <v>41</v>
      </c>
      <c r="BM189" s="769">
        <v>7</v>
      </c>
      <c r="BO189" s="30">
        <v>70</v>
      </c>
      <c r="BQ189" s="30">
        <v>46</v>
      </c>
      <c r="BS189" s="30">
        <v>51</v>
      </c>
      <c r="BU189" s="30">
        <v>11</v>
      </c>
      <c r="BW189" s="30">
        <v>0</v>
      </c>
      <c r="CC189" s="30">
        <v>42</v>
      </c>
    </row>
    <row r="190" spans="2:81" x14ac:dyDescent="0.2">
      <c r="B190" s="30">
        <v>1</v>
      </c>
      <c r="D190" s="30">
        <v>33</v>
      </c>
      <c r="F190" s="30">
        <v>47</v>
      </c>
      <c r="G190" s="34"/>
      <c r="H190" s="30">
        <v>13</v>
      </c>
      <c r="J190" s="30">
        <v>41</v>
      </c>
      <c r="L190" s="30">
        <v>44</v>
      </c>
      <c r="N190" s="30">
        <v>10</v>
      </c>
      <c r="P190" s="30">
        <v>57</v>
      </c>
      <c r="R190" s="30">
        <v>13</v>
      </c>
      <c r="T190" s="30">
        <v>30</v>
      </c>
      <c r="V190" s="30">
        <v>72</v>
      </c>
      <c r="X190" s="30">
        <v>56</v>
      </c>
      <c r="AA190" s="30">
        <v>17</v>
      </c>
      <c r="AC190" s="30">
        <v>55</v>
      </c>
      <c r="AE190" s="30">
        <v>77</v>
      </c>
      <c r="AG190" s="30">
        <v>36</v>
      </c>
      <c r="AI190" s="30">
        <v>10</v>
      </c>
      <c r="AK190" s="30">
        <v>5</v>
      </c>
      <c r="AM190" s="30">
        <v>40</v>
      </c>
      <c r="AO190" s="30">
        <v>49</v>
      </c>
      <c r="AQ190" s="495">
        <v>34</v>
      </c>
      <c r="AS190" s="30">
        <v>87</v>
      </c>
      <c r="AU190">
        <v>25</v>
      </c>
      <c r="AW190" s="30">
        <v>5</v>
      </c>
      <c r="AY190" s="30">
        <v>5</v>
      </c>
      <c r="BA190" s="30">
        <v>10</v>
      </c>
      <c r="BC190" s="30">
        <v>92</v>
      </c>
      <c r="BE190" s="30">
        <v>77</v>
      </c>
      <c r="BG190" s="30">
        <v>74</v>
      </c>
      <c r="BK190" s="30">
        <v>30</v>
      </c>
      <c r="BM190" s="769">
        <v>45</v>
      </c>
      <c r="BO190" s="30">
        <v>56</v>
      </c>
      <c r="BQ190" s="30">
        <v>66</v>
      </c>
      <c r="BS190" s="30">
        <v>46</v>
      </c>
      <c r="BU190" s="30">
        <v>30</v>
      </c>
      <c r="BW190" s="30">
        <v>29</v>
      </c>
      <c r="CC190" s="30">
        <v>37</v>
      </c>
    </row>
    <row r="191" spans="2:81" x14ac:dyDescent="0.2">
      <c r="B191" s="30">
        <v>39</v>
      </c>
      <c r="D191" s="30">
        <v>21</v>
      </c>
      <c r="F191" s="30">
        <v>79</v>
      </c>
      <c r="G191" s="34"/>
      <c r="H191" s="30">
        <v>35</v>
      </c>
      <c r="J191" s="30">
        <v>34</v>
      </c>
      <c r="L191" s="30">
        <v>57</v>
      </c>
      <c r="N191" s="30">
        <v>10</v>
      </c>
      <c r="P191" s="30">
        <v>57</v>
      </c>
      <c r="R191" s="30">
        <v>25</v>
      </c>
      <c r="T191" s="30">
        <v>10</v>
      </c>
      <c r="V191" s="30">
        <v>44</v>
      </c>
      <c r="X191" s="30">
        <v>54</v>
      </c>
      <c r="AA191" s="30">
        <v>56</v>
      </c>
      <c r="AC191" s="30">
        <v>71</v>
      </c>
      <c r="AE191" s="30">
        <v>14</v>
      </c>
      <c r="AG191" s="30">
        <v>72</v>
      </c>
      <c r="AI191" s="30">
        <v>24</v>
      </c>
      <c r="AK191" s="30">
        <v>57</v>
      </c>
      <c r="AM191" s="30">
        <v>86</v>
      </c>
      <c r="AO191" s="30">
        <v>53</v>
      </c>
      <c r="AQ191" s="495">
        <v>0</v>
      </c>
      <c r="AS191" s="30">
        <v>59</v>
      </c>
      <c r="AU191">
        <v>21</v>
      </c>
      <c r="AW191" s="30">
        <v>6</v>
      </c>
      <c r="AY191" s="30">
        <v>6</v>
      </c>
      <c r="BA191" s="30">
        <v>73</v>
      </c>
      <c r="BC191" s="30">
        <v>10</v>
      </c>
      <c r="BE191" s="30">
        <v>43</v>
      </c>
      <c r="BG191" s="30">
        <v>33</v>
      </c>
      <c r="BK191" s="30">
        <v>71</v>
      </c>
      <c r="BM191" s="769">
        <v>39</v>
      </c>
      <c r="BO191" s="30">
        <v>41</v>
      </c>
      <c r="BQ191" s="30">
        <v>74</v>
      </c>
      <c r="BS191" s="30">
        <v>17</v>
      </c>
      <c r="BU191" s="30">
        <v>39</v>
      </c>
      <c r="BW191" s="30">
        <v>49</v>
      </c>
      <c r="CC191" s="30">
        <v>33</v>
      </c>
    </row>
    <row r="192" spans="2:81" x14ac:dyDescent="0.2">
      <c r="B192" s="30">
        <v>30</v>
      </c>
      <c r="D192" s="30">
        <v>17</v>
      </c>
      <c r="F192" s="30">
        <v>52</v>
      </c>
      <c r="G192" s="34"/>
      <c r="H192" s="30">
        <v>54</v>
      </c>
      <c r="J192" s="30">
        <v>11</v>
      </c>
      <c r="L192" s="30">
        <v>96</v>
      </c>
      <c r="N192" s="30">
        <v>56</v>
      </c>
      <c r="P192" s="30">
        <v>59</v>
      </c>
      <c r="R192" s="30">
        <v>61</v>
      </c>
      <c r="T192" s="30">
        <v>29</v>
      </c>
      <c r="V192" s="30">
        <v>61</v>
      </c>
      <c r="X192" s="30">
        <v>71</v>
      </c>
      <c r="AA192" s="30">
        <v>54</v>
      </c>
      <c r="AC192" s="30">
        <v>65</v>
      </c>
      <c r="AE192" s="30">
        <v>60</v>
      </c>
      <c r="AG192" s="30">
        <v>14</v>
      </c>
      <c r="AI192" s="30">
        <v>46</v>
      </c>
      <c r="AK192" s="30">
        <v>10</v>
      </c>
      <c r="AM192" s="30">
        <v>50</v>
      </c>
      <c r="AO192" s="30">
        <v>13</v>
      </c>
      <c r="AQ192" s="495">
        <v>31</v>
      </c>
      <c r="AS192" s="30">
        <v>23</v>
      </c>
      <c r="AU192">
        <v>31</v>
      </c>
      <c r="AW192" s="30">
        <v>43</v>
      </c>
      <c r="AY192" s="30">
        <v>43</v>
      </c>
      <c r="BA192" s="30">
        <v>42</v>
      </c>
      <c r="BC192" s="30">
        <v>43</v>
      </c>
      <c r="BE192" s="30">
        <v>43</v>
      </c>
      <c r="BG192" s="30">
        <v>57</v>
      </c>
      <c r="BK192" s="30">
        <v>75</v>
      </c>
      <c r="BM192" s="769">
        <v>21</v>
      </c>
      <c r="BO192" s="30">
        <v>11</v>
      </c>
      <c r="BQ192" s="30">
        <v>52</v>
      </c>
      <c r="BS192" s="30">
        <v>35</v>
      </c>
      <c r="BU192" s="30">
        <v>9</v>
      </c>
      <c r="BW192" s="30">
        <v>75</v>
      </c>
      <c r="CC192" s="30">
        <v>14</v>
      </c>
    </row>
    <row r="193" spans="2:81" x14ac:dyDescent="0.2">
      <c r="B193" s="30">
        <v>32</v>
      </c>
      <c r="D193" s="30">
        <v>26</v>
      </c>
      <c r="F193" s="30">
        <v>29</v>
      </c>
      <c r="G193" s="34"/>
      <c r="H193" s="30">
        <v>26</v>
      </c>
      <c r="J193" s="30">
        <v>28</v>
      </c>
      <c r="L193" s="30">
        <v>64</v>
      </c>
      <c r="N193" s="30">
        <v>69</v>
      </c>
      <c r="P193" s="30">
        <v>59</v>
      </c>
      <c r="R193" s="30">
        <v>60</v>
      </c>
      <c r="T193" s="30">
        <v>52</v>
      </c>
      <c r="V193" s="30">
        <v>85</v>
      </c>
      <c r="X193" s="30">
        <v>59</v>
      </c>
      <c r="AA193" s="30">
        <v>71</v>
      </c>
      <c r="AC193" s="30">
        <v>45</v>
      </c>
      <c r="AE193" s="30">
        <v>44</v>
      </c>
      <c r="AG193" s="30">
        <v>10</v>
      </c>
      <c r="AI193" s="30">
        <v>55</v>
      </c>
      <c r="AK193" s="30">
        <v>24</v>
      </c>
      <c r="AM193" s="30">
        <v>29</v>
      </c>
      <c r="AO193" s="30">
        <v>23</v>
      </c>
      <c r="AQ193" s="495">
        <v>4</v>
      </c>
      <c r="AS193" s="30">
        <v>12</v>
      </c>
      <c r="AU193">
        <v>0</v>
      </c>
      <c r="AW193" s="30">
        <v>2</v>
      </c>
      <c r="AY193" s="30">
        <v>2</v>
      </c>
      <c r="BA193" s="30">
        <v>70</v>
      </c>
      <c r="BC193" s="30">
        <v>46</v>
      </c>
      <c r="BE193" s="30">
        <v>16</v>
      </c>
      <c r="BG193" s="30">
        <v>72</v>
      </c>
      <c r="BK193" s="30">
        <v>84</v>
      </c>
      <c r="BM193" s="769">
        <v>63</v>
      </c>
      <c r="BO193" s="770">
        <f>SUM(BO6:BO192)</f>
        <v>8225</v>
      </c>
      <c r="BQ193" s="30">
        <v>43</v>
      </c>
      <c r="BS193" s="770">
        <f>SUM(BS6:BS192)</f>
        <v>8711</v>
      </c>
      <c r="BU193" s="30">
        <v>8</v>
      </c>
      <c r="BW193" s="30">
        <v>42</v>
      </c>
      <c r="CC193" s="30">
        <v>72</v>
      </c>
    </row>
    <row r="194" spans="2:81" x14ac:dyDescent="0.2">
      <c r="B194" s="30">
        <v>61</v>
      </c>
      <c r="D194" s="30">
        <v>33</v>
      </c>
      <c r="F194" s="30">
        <v>27</v>
      </c>
      <c r="G194" s="34"/>
      <c r="H194" s="30">
        <v>18</v>
      </c>
      <c r="J194" s="30">
        <v>76</v>
      </c>
      <c r="L194" s="30">
        <v>57</v>
      </c>
      <c r="N194" s="30">
        <v>27</v>
      </c>
      <c r="P194" s="30">
        <v>59</v>
      </c>
      <c r="R194" s="30">
        <v>87</v>
      </c>
      <c r="T194" s="30">
        <v>64</v>
      </c>
      <c r="V194" s="30">
        <v>15</v>
      </c>
      <c r="X194" s="30">
        <v>32</v>
      </c>
      <c r="AA194" s="30">
        <v>59</v>
      </c>
      <c r="AC194" s="30">
        <v>64</v>
      </c>
      <c r="AE194" s="30">
        <v>39</v>
      </c>
      <c r="AG194" s="30">
        <v>28</v>
      </c>
      <c r="AI194" s="30">
        <v>78</v>
      </c>
      <c r="AK194" s="30">
        <v>45</v>
      </c>
      <c r="AM194" s="30">
        <v>53</v>
      </c>
      <c r="AO194" s="30">
        <v>17</v>
      </c>
      <c r="AQ194" s="495">
        <v>55</v>
      </c>
      <c r="AS194" s="30">
        <v>16</v>
      </c>
      <c r="AU194">
        <v>20</v>
      </c>
      <c r="AW194" s="30">
        <v>9</v>
      </c>
      <c r="AY194" s="30">
        <v>9</v>
      </c>
      <c r="BA194" s="30">
        <v>76</v>
      </c>
      <c r="BC194" s="30">
        <v>98</v>
      </c>
      <c r="BE194" s="30">
        <v>41</v>
      </c>
      <c r="BG194" s="30">
        <v>8</v>
      </c>
      <c r="BK194" s="30">
        <v>47</v>
      </c>
      <c r="BM194" s="769">
        <v>44</v>
      </c>
      <c r="BO194" s="30">
        <v>8225</v>
      </c>
      <c r="BQ194" s="30">
        <v>100</v>
      </c>
      <c r="BS194" s="30">
        <v>8711</v>
      </c>
      <c r="BU194" s="30">
        <v>14</v>
      </c>
      <c r="BW194" s="30">
        <v>32</v>
      </c>
      <c r="CC194" s="30">
        <v>65</v>
      </c>
    </row>
    <row r="195" spans="2:81" x14ac:dyDescent="0.2">
      <c r="B195" s="30">
        <v>89</v>
      </c>
      <c r="D195" s="30">
        <v>97</v>
      </c>
      <c r="F195" s="30">
        <v>21</v>
      </c>
      <c r="G195" s="34"/>
      <c r="H195" s="30">
        <v>60</v>
      </c>
      <c r="J195" s="30">
        <v>86</v>
      </c>
      <c r="L195" s="30">
        <v>75</v>
      </c>
      <c r="N195" s="30">
        <v>72</v>
      </c>
      <c r="P195" s="30">
        <v>59</v>
      </c>
      <c r="R195" s="30">
        <v>60</v>
      </c>
      <c r="T195" s="30">
        <v>20</v>
      </c>
      <c r="V195" s="30">
        <v>34</v>
      </c>
      <c r="X195" s="30">
        <v>65</v>
      </c>
      <c r="AA195" s="30">
        <v>32</v>
      </c>
      <c r="AC195" s="30">
        <v>16</v>
      </c>
      <c r="AE195" s="30">
        <v>14</v>
      </c>
      <c r="AG195" s="30">
        <v>3</v>
      </c>
      <c r="AI195" s="30">
        <v>36</v>
      </c>
      <c r="AK195" s="30">
        <v>18</v>
      </c>
      <c r="AM195" s="30">
        <v>7</v>
      </c>
      <c r="AO195" s="30">
        <v>43</v>
      </c>
      <c r="AQ195" s="495">
        <v>7</v>
      </c>
      <c r="AS195" s="30">
        <v>17</v>
      </c>
      <c r="AU195">
        <v>37</v>
      </c>
      <c r="AW195" s="30">
        <v>60</v>
      </c>
      <c r="AY195" s="30">
        <v>60</v>
      </c>
      <c r="BA195" s="30">
        <v>95</v>
      </c>
      <c r="BC195" s="30">
        <v>89</v>
      </c>
      <c r="BE195" s="30">
        <v>5</v>
      </c>
      <c r="BG195" s="30">
        <v>69</v>
      </c>
      <c r="BK195" s="30">
        <v>49</v>
      </c>
      <c r="BM195" s="769">
        <v>32</v>
      </c>
      <c r="BQ195" s="30">
        <v>6</v>
      </c>
      <c r="BU195" s="30">
        <v>25</v>
      </c>
      <c r="BW195" s="30">
        <v>40</v>
      </c>
      <c r="CC195" s="30">
        <v>0</v>
      </c>
    </row>
    <row r="196" spans="2:81" x14ac:dyDescent="0.2">
      <c r="B196" s="30">
        <v>21</v>
      </c>
      <c r="D196" s="30">
        <v>85</v>
      </c>
      <c r="F196" s="30">
        <v>58</v>
      </c>
      <c r="G196" s="34"/>
      <c r="H196" s="30">
        <v>10</v>
      </c>
      <c r="J196" s="30">
        <v>81</v>
      </c>
      <c r="L196" s="30">
        <v>62</v>
      </c>
      <c r="N196" s="30">
        <v>29</v>
      </c>
      <c r="P196" s="30">
        <v>59</v>
      </c>
      <c r="R196" s="30">
        <v>12</v>
      </c>
      <c r="T196" s="30">
        <v>11</v>
      </c>
      <c r="V196" s="30">
        <v>85</v>
      </c>
      <c r="X196" s="30">
        <v>13</v>
      </c>
      <c r="AA196" s="30">
        <v>65</v>
      </c>
      <c r="AC196" s="30">
        <v>48</v>
      </c>
      <c r="AE196" s="30">
        <v>30</v>
      </c>
      <c r="AG196" s="30">
        <v>11</v>
      </c>
      <c r="AI196" s="30">
        <v>57</v>
      </c>
      <c r="AK196" s="30">
        <v>30</v>
      </c>
      <c r="AM196" s="30">
        <v>11</v>
      </c>
      <c r="AO196" s="30">
        <v>55</v>
      </c>
      <c r="AQ196" s="495">
        <v>14</v>
      </c>
      <c r="AS196" s="30">
        <v>63</v>
      </c>
      <c r="AU196">
        <v>26</v>
      </c>
      <c r="AW196" s="30">
        <v>58</v>
      </c>
      <c r="AY196" s="30">
        <v>58</v>
      </c>
      <c r="BA196" s="30">
        <v>31</v>
      </c>
      <c r="BC196" s="30">
        <v>47</v>
      </c>
      <c r="BE196" s="30">
        <v>79</v>
      </c>
      <c r="BG196" s="30">
        <v>21</v>
      </c>
      <c r="BK196" s="30">
        <v>38</v>
      </c>
      <c r="BM196" s="769">
        <v>79</v>
      </c>
      <c r="BQ196" s="30">
        <v>16</v>
      </c>
      <c r="BU196" s="30">
        <v>69</v>
      </c>
      <c r="BW196" s="30">
        <v>39</v>
      </c>
      <c r="CC196" s="30">
        <v>35</v>
      </c>
    </row>
    <row r="197" spans="2:81" x14ac:dyDescent="0.2">
      <c r="B197" s="30">
        <v>75</v>
      </c>
      <c r="D197" s="30">
        <v>19</v>
      </c>
      <c r="F197" s="30">
        <v>33</v>
      </c>
      <c r="G197" s="34"/>
      <c r="H197" s="30">
        <v>23</v>
      </c>
      <c r="J197" s="30">
        <v>82</v>
      </c>
      <c r="L197" s="30">
        <v>81</v>
      </c>
      <c r="N197" s="30">
        <v>8</v>
      </c>
      <c r="P197" s="30">
        <v>59</v>
      </c>
      <c r="R197" s="30">
        <v>11</v>
      </c>
      <c r="T197" s="30">
        <v>35</v>
      </c>
      <c r="V197" s="30">
        <v>64</v>
      </c>
      <c r="X197" s="30">
        <v>13</v>
      </c>
      <c r="AA197" s="30">
        <v>13</v>
      </c>
      <c r="AC197" s="30">
        <v>80</v>
      </c>
      <c r="AD197" s="30" t="s">
        <v>121</v>
      </c>
      <c r="AE197" s="30">
        <v>38</v>
      </c>
      <c r="AG197" s="30">
        <v>25</v>
      </c>
      <c r="AI197" s="30">
        <v>23</v>
      </c>
      <c r="AK197" s="30">
        <v>68</v>
      </c>
      <c r="AM197" s="30">
        <v>24</v>
      </c>
      <c r="AO197" s="30">
        <v>76</v>
      </c>
      <c r="AQ197" s="495">
        <v>25</v>
      </c>
      <c r="AS197" s="30">
        <v>69</v>
      </c>
      <c r="AU197">
        <v>66</v>
      </c>
      <c r="AW197" s="30">
        <v>28</v>
      </c>
      <c r="AY197" s="30">
        <v>28</v>
      </c>
      <c r="BA197" s="30">
        <v>53</v>
      </c>
      <c r="BC197" s="30">
        <v>10</v>
      </c>
      <c r="BE197" s="30">
        <v>25</v>
      </c>
      <c r="BG197" s="30">
        <v>37</v>
      </c>
      <c r="BK197" s="30">
        <v>22</v>
      </c>
      <c r="BM197" s="769">
        <v>11</v>
      </c>
      <c r="BQ197" s="30">
        <v>34</v>
      </c>
      <c r="BU197" s="30">
        <v>21</v>
      </c>
      <c r="BW197" s="30">
        <v>35</v>
      </c>
      <c r="CC197" s="30">
        <v>50</v>
      </c>
    </row>
    <row r="198" spans="2:81" x14ac:dyDescent="0.2">
      <c r="B198" s="30">
        <v>7</v>
      </c>
      <c r="D198" s="30">
        <v>81</v>
      </c>
      <c r="F198" s="30">
        <v>12</v>
      </c>
      <c r="G198" s="34"/>
      <c r="H198" s="30">
        <v>36</v>
      </c>
      <c r="J198" s="30">
        <v>16</v>
      </c>
      <c r="L198" s="30">
        <v>90</v>
      </c>
      <c r="N198" s="30">
        <v>9</v>
      </c>
      <c r="P198" s="30">
        <v>59</v>
      </c>
      <c r="R198" s="30">
        <v>84</v>
      </c>
      <c r="T198" s="30">
        <v>54</v>
      </c>
      <c r="V198" s="30">
        <v>51</v>
      </c>
      <c r="X198" s="30">
        <v>56</v>
      </c>
      <c r="AA198" s="30">
        <v>13</v>
      </c>
      <c r="AC198" s="30">
        <v>14</v>
      </c>
      <c r="AE198" s="30">
        <v>28</v>
      </c>
      <c r="AG198" s="30">
        <v>40</v>
      </c>
      <c r="AI198" s="30">
        <v>85</v>
      </c>
      <c r="AK198" s="30">
        <v>46</v>
      </c>
      <c r="AM198" s="30">
        <v>36</v>
      </c>
      <c r="AO198" s="30">
        <v>32</v>
      </c>
      <c r="AQ198" s="495">
        <v>33</v>
      </c>
      <c r="AS198" s="30">
        <v>50</v>
      </c>
      <c r="AU198">
        <v>27</v>
      </c>
      <c r="AW198" s="30">
        <v>22</v>
      </c>
      <c r="AY198" s="30">
        <v>22</v>
      </c>
      <c r="BA198" s="30">
        <v>0</v>
      </c>
      <c r="BC198" s="30">
        <v>20</v>
      </c>
      <c r="BE198" s="30">
        <v>45</v>
      </c>
      <c r="BG198" s="30">
        <v>43</v>
      </c>
      <c r="BK198" s="30">
        <v>24</v>
      </c>
      <c r="BM198" s="769">
        <v>14</v>
      </c>
      <c r="BQ198" s="30">
        <v>42</v>
      </c>
      <c r="BU198" s="30">
        <v>42</v>
      </c>
      <c r="BW198" s="30">
        <v>44</v>
      </c>
      <c r="CC198" s="30">
        <v>34</v>
      </c>
    </row>
    <row r="199" spans="2:81" x14ac:dyDescent="0.2">
      <c r="B199" s="30">
        <v>31</v>
      </c>
      <c r="D199" s="30">
        <v>14</v>
      </c>
      <c r="F199" s="30">
        <v>81</v>
      </c>
      <c r="G199" s="34"/>
      <c r="H199" s="30">
        <v>41</v>
      </c>
      <c r="J199" s="30">
        <v>60</v>
      </c>
      <c r="L199" s="30">
        <v>20</v>
      </c>
      <c r="N199" s="30">
        <v>42</v>
      </c>
      <c r="P199" s="30">
        <v>60</v>
      </c>
      <c r="R199" s="30">
        <v>81</v>
      </c>
      <c r="T199" s="30">
        <v>54</v>
      </c>
      <c r="V199" s="30">
        <v>16</v>
      </c>
      <c r="X199" s="30">
        <v>32</v>
      </c>
      <c r="AA199" s="30">
        <v>56</v>
      </c>
      <c r="AC199" s="30">
        <v>68</v>
      </c>
      <c r="AE199" s="30">
        <v>32</v>
      </c>
      <c r="AG199" s="30">
        <v>80</v>
      </c>
      <c r="AI199" s="30">
        <v>60</v>
      </c>
      <c r="AK199" s="30">
        <v>73</v>
      </c>
      <c r="AM199" s="30">
        <v>49</v>
      </c>
      <c r="AO199" s="30">
        <v>56</v>
      </c>
      <c r="AQ199" s="495">
        <v>64</v>
      </c>
      <c r="AS199" s="30">
        <v>66</v>
      </c>
      <c r="AU199">
        <v>4</v>
      </c>
      <c r="AW199" s="30">
        <v>67</v>
      </c>
      <c r="AY199" s="30">
        <v>67</v>
      </c>
      <c r="BA199" s="30">
        <v>15</v>
      </c>
      <c r="BC199" s="30">
        <v>46</v>
      </c>
      <c r="BE199" s="30">
        <v>85</v>
      </c>
      <c r="BG199" s="30">
        <v>88</v>
      </c>
      <c r="BK199" s="30">
        <v>41</v>
      </c>
      <c r="BM199" s="769">
        <v>6</v>
      </c>
      <c r="BQ199" s="30">
        <v>32</v>
      </c>
      <c r="BU199" s="30">
        <v>73</v>
      </c>
      <c r="BW199" s="30">
        <v>11</v>
      </c>
      <c r="CC199" s="30">
        <v>34</v>
      </c>
    </row>
    <row r="200" spans="2:81" x14ac:dyDescent="0.2">
      <c r="B200" s="30">
        <v>0</v>
      </c>
      <c r="D200" s="30">
        <v>66</v>
      </c>
      <c r="F200" s="59"/>
      <c r="G200" s="34"/>
      <c r="H200" s="59"/>
      <c r="J200" s="30">
        <v>33</v>
      </c>
      <c r="L200" s="30">
        <v>7</v>
      </c>
      <c r="N200" s="30">
        <v>7</v>
      </c>
      <c r="P200" s="30">
        <v>60</v>
      </c>
      <c r="R200" s="30">
        <v>33</v>
      </c>
      <c r="T200" s="30">
        <v>90</v>
      </c>
      <c r="V200" s="30">
        <v>60</v>
      </c>
      <c r="X200" s="30">
        <v>64</v>
      </c>
      <c r="AA200" s="30">
        <v>32</v>
      </c>
      <c r="AC200" s="30">
        <v>36</v>
      </c>
      <c r="AE200" s="30">
        <v>53</v>
      </c>
      <c r="AG200" s="30">
        <v>54</v>
      </c>
      <c r="AI200" s="30">
        <v>96</v>
      </c>
      <c r="AK200" s="30">
        <v>56</v>
      </c>
      <c r="AM200" s="30">
        <v>52</v>
      </c>
      <c r="AO200" s="30">
        <v>38</v>
      </c>
      <c r="AQ200" s="495">
        <v>90</v>
      </c>
      <c r="AS200" s="30">
        <v>79</v>
      </c>
      <c r="AU200">
        <v>53</v>
      </c>
      <c r="AW200" s="30">
        <v>19</v>
      </c>
      <c r="AY200" s="30">
        <v>19</v>
      </c>
      <c r="BA200" s="30">
        <v>63</v>
      </c>
      <c r="BC200" s="30">
        <v>17</v>
      </c>
      <c r="BE200" s="30">
        <v>33</v>
      </c>
      <c r="BG200" s="30">
        <v>22</v>
      </c>
      <c r="BK200" s="30">
        <v>35</v>
      </c>
      <c r="BM200" s="769">
        <v>58</v>
      </c>
      <c r="BQ200" s="30">
        <v>69</v>
      </c>
      <c r="BU200" s="30">
        <v>48</v>
      </c>
      <c r="BW200" s="30">
        <v>18</v>
      </c>
      <c r="CC200" s="30">
        <v>76</v>
      </c>
    </row>
    <row r="201" spans="2:81" x14ac:dyDescent="0.2">
      <c r="B201" s="30">
        <v>19</v>
      </c>
      <c r="D201" s="30">
        <v>25</v>
      </c>
      <c r="F201" s="30">
        <v>70</v>
      </c>
      <c r="G201" s="34"/>
      <c r="H201" s="30">
        <v>86</v>
      </c>
      <c r="J201" s="30">
        <v>17</v>
      </c>
      <c r="L201" s="30">
        <v>99</v>
      </c>
      <c r="N201" s="30">
        <v>99</v>
      </c>
      <c r="P201" s="30">
        <v>60</v>
      </c>
      <c r="R201" s="30">
        <v>81</v>
      </c>
      <c r="T201" s="30">
        <v>51</v>
      </c>
      <c r="V201" s="30">
        <v>80</v>
      </c>
      <c r="X201" s="30">
        <v>42</v>
      </c>
      <c r="AA201" s="30">
        <v>64</v>
      </c>
      <c r="AC201" s="30">
        <v>81</v>
      </c>
      <c r="AE201" s="30">
        <v>14</v>
      </c>
      <c r="AG201" s="30">
        <v>28</v>
      </c>
      <c r="AI201" s="30">
        <v>57</v>
      </c>
      <c r="AK201" s="30">
        <v>63</v>
      </c>
      <c r="AM201" s="30">
        <v>69</v>
      </c>
      <c r="AO201" s="30">
        <v>20</v>
      </c>
      <c r="AQ201" s="495">
        <v>28</v>
      </c>
      <c r="AS201" s="30">
        <v>14</v>
      </c>
      <c r="AU201">
        <v>9</v>
      </c>
      <c r="AW201" s="68">
        <f>SUM(AW6:AW200)</f>
        <v>5942</v>
      </c>
      <c r="AY201" s="68">
        <f>SUM(AY6:AY200)</f>
        <v>5942</v>
      </c>
      <c r="BA201" s="30">
        <v>58</v>
      </c>
      <c r="BC201" s="30">
        <v>27</v>
      </c>
      <c r="BE201" s="30">
        <v>32</v>
      </c>
      <c r="BG201" s="30">
        <v>29</v>
      </c>
      <c r="BK201" s="30">
        <v>15</v>
      </c>
      <c r="BM201" s="769">
        <v>20</v>
      </c>
      <c r="BQ201" s="30">
        <v>55</v>
      </c>
      <c r="BU201" s="30">
        <v>61</v>
      </c>
      <c r="BW201" s="30">
        <v>50</v>
      </c>
      <c r="CC201" s="30">
        <v>62</v>
      </c>
    </row>
    <row r="202" spans="2:81" x14ac:dyDescent="0.2">
      <c r="B202" s="30">
        <v>45</v>
      </c>
      <c r="D202" s="30">
        <v>30</v>
      </c>
      <c r="F202" s="30">
        <v>44</v>
      </c>
      <c r="G202" s="34"/>
      <c r="H202" s="30">
        <v>38</v>
      </c>
      <c r="J202" s="30">
        <v>76</v>
      </c>
      <c r="L202" s="30">
        <v>73</v>
      </c>
      <c r="N202" s="30">
        <v>100</v>
      </c>
      <c r="P202" s="30">
        <v>60</v>
      </c>
      <c r="R202" s="30">
        <v>28</v>
      </c>
      <c r="T202" s="30">
        <v>13</v>
      </c>
      <c r="V202" s="30">
        <v>29</v>
      </c>
      <c r="X202" s="30">
        <v>39</v>
      </c>
      <c r="AA202" s="30">
        <v>42</v>
      </c>
      <c r="AC202" s="30">
        <v>57</v>
      </c>
      <c r="AE202" s="30">
        <v>5</v>
      </c>
      <c r="AG202" s="30">
        <v>71</v>
      </c>
      <c r="AI202" s="30">
        <v>76</v>
      </c>
      <c r="AK202" s="30">
        <v>77</v>
      </c>
      <c r="AM202" s="30">
        <v>27</v>
      </c>
      <c r="AO202" s="30">
        <v>12</v>
      </c>
      <c r="AQ202" s="495">
        <v>78</v>
      </c>
      <c r="AS202" s="30">
        <v>26</v>
      </c>
      <c r="AU202">
        <v>47</v>
      </c>
      <c r="AW202" s="30">
        <v>5942</v>
      </c>
      <c r="AY202" s="30">
        <v>5942</v>
      </c>
      <c r="BA202" s="30">
        <v>49</v>
      </c>
      <c r="BC202" s="30">
        <v>15</v>
      </c>
      <c r="BE202" s="30">
        <v>26</v>
      </c>
      <c r="BG202" s="30">
        <v>0</v>
      </c>
      <c r="BK202" s="30">
        <v>4</v>
      </c>
      <c r="BM202" s="769">
        <v>49</v>
      </c>
      <c r="BQ202" s="30">
        <v>10</v>
      </c>
      <c r="BU202" s="30">
        <v>29</v>
      </c>
      <c r="BW202" s="30">
        <v>26</v>
      </c>
      <c r="CC202" s="30">
        <v>19</v>
      </c>
    </row>
    <row r="203" spans="2:81" x14ac:dyDescent="0.2">
      <c r="B203" s="30">
        <v>29</v>
      </c>
      <c r="D203" s="30">
        <v>95</v>
      </c>
      <c r="F203" s="30">
        <v>80</v>
      </c>
      <c r="G203" s="34"/>
      <c r="H203" s="30">
        <v>11</v>
      </c>
      <c r="J203" s="30">
        <v>78</v>
      </c>
      <c r="L203" s="30">
        <v>42</v>
      </c>
      <c r="N203" s="30">
        <v>95</v>
      </c>
      <c r="P203" s="30">
        <v>60</v>
      </c>
      <c r="R203" s="30">
        <v>10</v>
      </c>
      <c r="T203" s="30">
        <v>13</v>
      </c>
      <c r="V203" s="30">
        <v>88</v>
      </c>
      <c r="X203" s="30">
        <v>71</v>
      </c>
      <c r="AA203" s="30">
        <v>39</v>
      </c>
      <c r="AC203" s="30">
        <v>31</v>
      </c>
      <c r="AE203" s="30">
        <v>33</v>
      </c>
      <c r="AG203" s="30">
        <v>30</v>
      </c>
      <c r="AI203" s="30">
        <v>26</v>
      </c>
      <c r="AK203" s="30">
        <v>28</v>
      </c>
      <c r="AM203" s="30">
        <v>77</v>
      </c>
      <c r="AO203" s="30">
        <v>71</v>
      </c>
      <c r="AQ203" s="495">
        <v>33</v>
      </c>
      <c r="AS203" s="30">
        <v>80</v>
      </c>
      <c r="AU203">
        <v>13</v>
      </c>
      <c r="BA203" s="30">
        <v>36</v>
      </c>
      <c r="BC203" s="30">
        <v>60</v>
      </c>
      <c r="BE203" s="30">
        <v>27</v>
      </c>
      <c r="BG203" s="30">
        <v>97</v>
      </c>
      <c r="BK203" s="30">
        <v>18</v>
      </c>
      <c r="BM203" s="770">
        <f>SUM(BM6:BM202)</f>
        <v>8487</v>
      </c>
      <c r="BQ203" s="30">
        <v>86</v>
      </c>
      <c r="BU203" s="30">
        <v>58</v>
      </c>
      <c r="BW203" s="30">
        <v>57</v>
      </c>
      <c r="CC203" s="30">
        <v>86</v>
      </c>
    </row>
    <row r="204" spans="2:81" x14ac:dyDescent="0.2">
      <c r="B204" s="30">
        <v>42</v>
      </c>
      <c r="D204" s="30">
        <v>32</v>
      </c>
      <c r="F204" s="30">
        <v>0</v>
      </c>
      <c r="G204" s="34"/>
      <c r="H204" s="30">
        <v>73</v>
      </c>
      <c r="J204" s="30">
        <v>54</v>
      </c>
      <c r="L204" s="30">
        <v>29</v>
      </c>
      <c r="N204" s="30">
        <v>20</v>
      </c>
      <c r="P204" s="30">
        <v>60</v>
      </c>
      <c r="R204" s="30">
        <v>7</v>
      </c>
      <c r="T204" s="30">
        <v>88</v>
      </c>
      <c r="V204" s="30">
        <v>69</v>
      </c>
      <c r="X204" s="30">
        <v>89</v>
      </c>
      <c r="AA204" s="30">
        <v>71</v>
      </c>
      <c r="AC204" s="30">
        <v>71</v>
      </c>
      <c r="AE204" s="30">
        <v>0</v>
      </c>
      <c r="AG204" s="30">
        <v>76</v>
      </c>
      <c r="AI204" s="30">
        <v>76</v>
      </c>
      <c r="AK204" s="30">
        <v>68</v>
      </c>
      <c r="AM204" s="30">
        <v>44</v>
      </c>
      <c r="AO204" s="30">
        <v>5</v>
      </c>
      <c r="AQ204" s="495">
        <v>70</v>
      </c>
      <c r="AS204" s="30">
        <v>77</v>
      </c>
      <c r="AU204">
        <v>40</v>
      </c>
      <c r="BA204" s="30">
        <v>17</v>
      </c>
      <c r="BC204" s="30">
        <v>39</v>
      </c>
      <c r="BE204" s="30">
        <v>28</v>
      </c>
      <c r="BG204" s="30">
        <v>65</v>
      </c>
      <c r="BK204" s="30">
        <v>74</v>
      </c>
      <c r="BM204" s="30">
        <v>8487</v>
      </c>
      <c r="BQ204" s="30">
        <v>50</v>
      </c>
      <c r="BU204" s="30">
        <v>10</v>
      </c>
      <c r="BW204" s="30">
        <v>49</v>
      </c>
      <c r="CC204" s="30">
        <v>88</v>
      </c>
    </row>
    <row r="205" spans="2:81" x14ac:dyDescent="0.2">
      <c r="B205" s="60">
        <v>36</v>
      </c>
      <c r="D205" s="30">
        <v>39</v>
      </c>
      <c r="F205" s="30">
        <v>14</v>
      </c>
      <c r="G205" s="34"/>
      <c r="H205" s="30">
        <v>38</v>
      </c>
      <c r="J205" s="30">
        <v>56</v>
      </c>
      <c r="L205" s="30">
        <v>65</v>
      </c>
      <c r="N205" s="30">
        <v>90</v>
      </c>
      <c r="P205" s="30">
        <v>61</v>
      </c>
      <c r="R205" s="30">
        <v>64</v>
      </c>
      <c r="T205" s="30">
        <v>69</v>
      </c>
      <c r="V205" s="30">
        <v>43</v>
      </c>
      <c r="X205" s="30">
        <v>15</v>
      </c>
      <c r="AA205" s="30">
        <v>89</v>
      </c>
      <c r="AC205" s="30">
        <v>14</v>
      </c>
      <c r="AE205" s="30">
        <v>23</v>
      </c>
      <c r="AG205" s="30">
        <v>75</v>
      </c>
      <c r="AI205" s="30">
        <v>26</v>
      </c>
      <c r="AK205" s="30">
        <v>67</v>
      </c>
      <c r="AM205" s="30">
        <v>85</v>
      </c>
      <c r="AO205" s="30">
        <v>94</v>
      </c>
      <c r="AQ205" s="495">
        <v>63</v>
      </c>
      <c r="AS205" s="30">
        <v>91</v>
      </c>
      <c r="AU205">
        <v>16</v>
      </c>
      <c r="BA205" s="30">
        <v>34</v>
      </c>
      <c r="BC205" s="30">
        <v>10</v>
      </c>
      <c r="BE205" s="30">
        <v>65</v>
      </c>
      <c r="BG205" s="68">
        <f>SUM(BG6:BG204)</f>
        <v>8669</v>
      </c>
      <c r="BK205" s="30">
        <v>0</v>
      </c>
      <c r="BQ205" s="30">
        <v>59</v>
      </c>
      <c r="BU205" s="30">
        <v>31</v>
      </c>
      <c r="BW205" s="770">
        <f>SUM(BW6:BW204)</f>
        <v>9463</v>
      </c>
      <c r="CC205" s="30">
        <v>43</v>
      </c>
    </row>
    <row r="206" spans="2:81" x14ac:dyDescent="0.2">
      <c r="B206" s="30">
        <v>26</v>
      </c>
      <c r="C206" s="30" t="s">
        <v>122</v>
      </c>
      <c r="D206" s="30">
        <v>68</v>
      </c>
      <c r="F206" s="30">
        <v>56</v>
      </c>
      <c r="G206" s="34"/>
      <c r="H206" s="30">
        <v>33</v>
      </c>
      <c r="J206" s="30">
        <v>74</v>
      </c>
      <c r="L206" s="30">
        <v>33</v>
      </c>
      <c r="N206" s="30">
        <v>20</v>
      </c>
      <c r="P206" s="30">
        <v>61</v>
      </c>
      <c r="R206" s="30">
        <v>78</v>
      </c>
      <c r="T206" s="30">
        <v>30</v>
      </c>
      <c r="V206" s="30">
        <v>50</v>
      </c>
      <c r="X206" s="30">
        <v>22</v>
      </c>
      <c r="AA206" s="30">
        <v>15</v>
      </c>
      <c r="AC206" s="30">
        <v>31</v>
      </c>
      <c r="AE206" s="30">
        <v>22</v>
      </c>
      <c r="AG206" s="30">
        <v>86</v>
      </c>
      <c r="AI206" s="30">
        <v>15</v>
      </c>
      <c r="AK206" s="30">
        <v>17</v>
      </c>
      <c r="AM206" s="30">
        <v>68</v>
      </c>
      <c r="AO206" s="30">
        <v>51</v>
      </c>
      <c r="AQ206" s="495">
        <v>78</v>
      </c>
      <c r="AS206" s="30">
        <v>26</v>
      </c>
      <c r="AU206">
        <v>34</v>
      </c>
      <c r="BA206" s="30">
        <v>49</v>
      </c>
      <c r="BC206" s="30">
        <v>16</v>
      </c>
      <c r="BE206" s="30">
        <v>48</v>
      </c>
      <c r="BG206" s="30">
        <v>8669</v>
      </c>
      <c r="BK206" s="30">
        <v>22</v>
      </c>
      <c r="BQ206" s="30">
        <v>30</v>
      </c>
      <c r="BU206" s="30">
        <v>75</v>
      </c>
      <c r="BW206" s="30">
        <v>9463</v>
      </c>
      <c r="CC206" s="30">
        <v>94</v>
      </c>
    </row>
    <row r="207" spans="2:81" x14ac:dyDescent="0.2">
      <c r="B207" s="30">
        <v>91</v>
      </c>
      <c r="D207" s="30">
        <v>49</v>
      </c>
      <c r="E207" s="30" t="s">
        <v>118</v>
      </c>
      <c r="F207" s="30">
        <v>2</v>
      </c>
      <c r="G207" s="34"/>
      <c r="H207" s="30">
        <v>12</v>
      </c>
      <c r="J207" s="30">
        <v>41</v>
      </c>
      <c r="L207" s="30">
        <v>20</v>
      </c>
      <c r="N207" s="30">
        <v>18</v>
      </c>
      <c r="P207" s="30">
        <v>62</v>
      </c>
      <c r="R207" s="30">
        <v>5</v>
      </c>
      <c r="T207" s="30">
        <v>80</v>
      </c>
      <c r="V207" s="30">
        <v>8</v>
      </c>
      <c r="X207" s="30">
        <v>81</v>
      </c>
      <c r="AA207" s="30">
        <v>22</v>
      </c>
      <c r="AC207" s="30">
        <v>75</v>
      </c>
      <c r="AE207" s="30">
        <v>15</v>
      </c>
      <c r="AG207" s="30">
        <v>83</v>
      </c>
      <c r="AI207" s="30">
        <v>28</v>
      </c>
      <c r="AK207" s="30">
        <v>64</v>
      </c>
      <c r="AM207" s="30">
        <v>72</v>
      </c>
      <c r="AO207" s="30">
        <v>87</v>
      </c>
      <c r="AQ207" s="495">
        <v>85</v>
      </c>
      <c r="AS207" s="30">
        <v>78</v>
      </c>
      <c r="AU207">
        <v>0</v>
      </c>
      <c r="BA207" s="30">
        <v>29</v>
      </c>
      <c r="BC207" s="30">
        <v>89</v>
      </c>
      <c r="BE207" s="30">
        <v>41</v>
      </c>
      <c r="BK207" s="30">
        <v>36</v>
      </c>
      <c r="BQ207" s="30">
        <v>38</v>
      </c>
      <c r="BU207" s="30">
        <v>33</v>
      </c>
      <c r="CC207" s="30">
        <v>64</v>
      </c>
    </row>
    <row r="208" spans="2:81" x14ac:dyDescent="0.2">
      <c r="B208" s="30">
        <v>10</v>
      </c>
      <c r="D208" s="30">
        <v>9</v>
      </c>
      <c r="F208" s="30">
        <v>29</v>
      </c>
      <c r="G208" s="34"/>
      <c r="H208" s="30">
        <v>77</v>
      </c>
      <c r="J208" s="30">
        <v>34</v>
      </c>
      <c r="L208" s="30">
        <v>41</v>
      </c>
      <c r="N208" s="30">
        <v>18</v>
      </c>
      <c r="P208" s="30">
        <v>63</v>
      </c>
      <c r="R208" s="30">
        <v>96</v>
      </c>
      <c r="T208" s="30">
        <v>26</v>
      </c>
      <c r="V208" s="30">
        <v>57</v>
      </c>
      <c r="X208" s="30">
        <v>55</v>
      </c>
      <c r="AA208" s="30">
        <v>81</v>
      </c>
      <c r="AC208" s="30">
        <v>56</v>
      </c>
      <c r="AE208" s="30">
        <v>6</v>
      </c>
      <c r="AG208" s="30">
        <v>51</v>
      </c>
      <c r="AI208" s="30">
        <v>93</v>
      </c>
      <c r="AK208" s="30">
        <v>59</v>
      </c>
      <c r="AM208" s="30">
        <v>21</v>
      </c>
      <c r="AO208" s="30">
        <v>82</v>
      </c>
      <c r="AQ208" s="495">
        <v>80</v>
      </c>
      <c r="AS208" s="30">
        <v>28</v>
      </c>
      <c r="AU208">
        <v>59</v>
      </c>
      <c r="BA208" s="30">
        <v>69</v>
      </c>
      <c r="BC208" s="30">
        <v>39</v>
      </c>
      <c r="BE208" s="30">
        <v>27</v>
      </c>
      <c r="BK208" s="30">
        <v>42</v>
      </c>
      <c r="BQ208" s="30">
        <v>97</v>
      </c>
      <c r="BU208" s="30">
        <v>82</v>
      </c>
      <c r="CC208" s="30">
        <v>75</v>
      </c>
    </row>
    <row r="209" spans="2:81" x14ac:dyDescent="0.2">
      <c r="B209" s="30">
        <v>38</v>
      </c>
      <c r="D209" s="30">
        <v>57</v>
      </c>
      <c r="F209" s="30">
        <v>26</v>
      </c>
      <c r="G209" s="34"/>
      <c r="H209" s="30">
        <v>36</v>
      </c>
      <c r="J209" s="30">
        <v>47</v>
      </c>
      <c r="L209" s="30">
        <v>70</v>
      </c>
      <c r="N209" s="30">
        <v>46</v>
      </c>
      <c r="P209" s="30">
        <v>63</v>
      </c>
      <c r="R209" s="30">
        <v>89</v>
      </c>
      <c r="T209" s="30">
        <v>9</v>
      </c>
      <c r="V209" s="30">
        <v>56</v>
      </c>
      <c r="X209" s="30">
        <v>44</v>
      </c>
      <c r="AA209" s="30">
        <v>55</v>
      </c>
      <c r="AC209" s="30">
        <v>19</v>
      </c>
      <c r="AE209" s="30">
        <v>58</v>
      </c>
      <c r="AG209" s="30">
        <v>80</v>
      </c>
      <c r="AI209" s="30">
        <v>4</v>
      </c>
      <c r="AK209" s="30">
        <v>52</v>
      </c>
      <c r="AM209" s="30">
        <v>70</v>
      </c>
      <c r="AO209" s="30">
        <v>45</v>
      </c>
      <c r="AQ209" s="495">
        <v>23</v>
      </c>
      <c r="AS209" s="30">
        <v>47</v>
      </c>
      <c r="AU209">
        <v>81</v>
      </c>
      <c r="BA209" s="30">
        <v>6</v>
      </c>
      <c r="BC209" s="30">
        <v>30</v>
      </c>
      <c r="BE209" s="30">
        <v>52</v>
      </c>
      <c r="BK209" s="30">
        <v>45</v>
      </c>
      <c r="BQ209" s="30">
        <v>88</v>
      </c>
      <c r="BU209" s="30">
        <v>66</v>
      </c>
      <c r="CC209" s="30">
        <v>42</v>
      </c>
    </row>
    <row r="210" spans="2:81" x14ac:dyDescent="0.2">
      <c r="B210" s="30">
        <v>51</v>
      </c>
      <c r="D210" s="30">
        <v>91</v>
      </c>
      <c r="F210" s="30">
        <v>51</v>
      </c>
      <c r="G210" s="34"/>
      <c r="H210" s="30">
        <v>26</v>
      </c>
      <c r="J210" s="30">
        <v>25</v>
      </c>
      <c r="L210" s="30">
        <v>20</v>
      </c>
      <c r="N210" s="30">
        <v>95</v>
      </c>
      <c r="P210" s="30">
        <v>64</v>
      </c>
      <c r="R210" s="30">
        <v>17</v>
      </c>
      <c r="T210" s="30">
        <v>7</v>
      </c>
      <c r="V210" s="30">
        <v>70</v>
      </c>
      <c r="X210" s="30">
        <v>13</v>
      </c>
      <c r="AA210" s="30">
        <v>44</v>
      </c>
      <c r="AC210" s="30">
        <v>77</v>
      </c>
      <c r="AE210" s="30">
        <v>53</v>
      </c>
      <c r="AG210" s="30">
        <v>26</v>
      </c>
      <c r="AI210" s="30">
        <v>13</v>
      </c>
      <c r="AK210" s="30">
        <v>75</v>
      </c>
      <c r="AM210" s="30">
        <v>32</v>
      </c>
      <c r="AO210" s="30">
        <v>92</v>
      </c>
      <c r="AQ210" s="495">
        <v>77</v>
      </c>
      <c r="AS210" s="30">
        <v>23</v>
      </c>
      <c r="AU210">
        <v>67</v>
      </c>
      <c r="BA210" s="30">
        <v>15</v>
      </c>
      <c r="BC210" s="30">
        <v>41</v>
      </c>
      <c r="BE210" s="30">
        <v>4</v>
      </c>
      <c r="BK210" s="68">
        <f>SUM(BK6:BK209)</f>
        <v>8971</v>
      </c>
      <c r="BQ210" s="30">
        <v>57</v>
      </c>
      <c r="BU210" s="30">
        <v>67</v>
      </c>
      <c r="CC210" s="30">
        <v>15</v>
      </c>
    </row>
    <row r="211" spans="2:81" x14ac:dyDescent="0.2">
      <c r="B211" s="30">
        <v>55</v>
      </c>
      <c r="D211" s="30">
        <v>25</v>
      </c>
      <c r="F211" s="30">
        <v>25</v>
      </c>
      <c r="G211" s="34"/>
      <c r="H211" s="30">
        <v>29</v>
      </c>
      <c r="J211" s="30">
        <v>24</v>
      </c>
      <c r="L211" s="30">
        <v>54</v>
      </c>
      <c r="N211" s="59"/>
      <c r="P211" s="30">
        <v>64</v>
      </c>
      <c r="R211" s="30">
        <v>45</v>
      </c>
      <c r="T211" s="30">
        <v>68</v>
      </c>
      <c r="V211" s="30">
        <v>30</v>
      </c>
      <c r="X211" s="30">
        <v>65</v>
      </c>
      <c r="AA211" s="30">
        <v>13</v>
      </c>
      <c r="AC211" s="30">
        <v>85</v>
      </c>
      <c r="AE211" s="30">
        <v>51</v>
      </c>
      <c r="AG211" s="30">
        <v>52</v>
      </c>
      <c r="AI211" s="30">
        <v>70</v>
      </c>
      <c r="AK211" s="30">
        <v>28</v>
      </c>
      <c r="AM211" s="30">
        <v>23</v>
      </c>
      <c r="AO211" s="30">
        <v>42</v>
      </c>
      <c r="AQ211" s="495">
        <v>74</v>
      </c>
      <c r="AS211" s="30">
        <v>46</v>
      </c>
      <c r="AU211">
        <v>10</v>
      </c>
      <c r="BA211" s="30">
        <v>25</v>
      </c>
      <c r="BC211" s="30">
        <v>0</v>
      </c>
      <c r="BE211" s="30">
        <v>0</v>
      </c>
      <c r="BK211" s="30">
        <v>8971</v>
      </c>
      <c r="BQ211" s="770">
        <f>SUM(BQ6:BQ210)</f>
        <v>8941</v>
      </c>
      <c r="BU211" s="30">
        <v>78</v>
      </c>
      <c r="CC211" s="30">
        <v>40</v>
      </c>
    </row>
    <row r="212" spans="2:81" x14ac:dyDescent="0.2">
      <c r="B212" s="30">
        <v>89</v>
      </c>
      <c r="D212" s="30">
        <v>20</v>
      </c>
      <c r="F212" s="30">
        <v>77</v>
      </c>
      <c r="G212" s="34"/>
      <c r="H212" s="30">
        <v>40</v>
      </c>
      <c r="J212" s="30">
        <v>53</v>
      </c>
      <c r="L212" s="59"/>
      <c r="N212" s="30">
        <v>43</v>
      </c>
      <c r="P212" s="30">
        <v>64</v>
      </c>
      <c r="R212" s="30">
        <v>13</v>
      </c>
      <c r="T212" s="30">
        <v>100</v>
      </c>
      <c r="V212" s="30">
        <v>22</v>
      </c>
      <c r="W212" s="30" t="s">
        <v>121</v>
      </c>
      <c r="X212" s="30">
        <v>76</v>
      </c>
      <c r="Y212" s="30" t="s">
        <v>121</v>
      </c>
      <c r="AA212" s="30">
        <v>65</v>
      </c>
      <c r="AB212" s="30" t="s">
        <v>121</v>
      </c>
      <c r="AC212" s="30">
        <v>37</v>
      </c>
      <c r="AE212" s="30">
        <v>40</v>
      </c>
      <c r="AG212" s="30">
        <v>61</v>
      </c>
      <c r="AI212" s="30">
        <v>71</v>
      </c>
      <c r="AK212" s="30">
        <v>74</v>
      </c>
      <c r="AM212" s="30">
        <v>27</v>
      </c>
      <c r="AO212" s="30">
        <v>21</v>
      </c>
      <c r="AQ212" s="495">
        <v>5</v>
      </c>
      <c r="AS212" s="30">
        <v>44</v>
      </c>
      <c r="AU212">
        <v>56</v>
      </c>
      <c r="BA212" s="30">
        <v>26</v>
      </c>
      <c r="BC212" s="30">
        <v>13</v>
      </c>
      <c r="BE212" s="30">
        <v>49</v>
      </c>
      <c r="BQ212" s="30">
        <v>8941</v>
      </c>
      <c r="BU212" s="30">
        <v>63</v>
      </c>
      <c r="CC212" s="30">
        <v>30</v>
      </c>
    </row>
    <row r="213" spans="2:81" x14ac:dyDescent="0.2">
      <c r="B213" s="30">
        <v>10</v>
      </c>
      <c r="D213" s="30">
        <v>31</v>
      </c>
      <c r="F213" s="30">
        <v>7</v>
      </c>
      <c r="G213" s="34"/>
      <c r="H213" s="30">
        <v>45</v>
      </c>
      <c r="J213" s="59"/>
      <c r="L213" s="30">
        <v>30</v>
      </c>
      <c r="N213" s="30">
        <v>63</v>
      </c>
      <c r="P213" s="30">
        <v>64</v>
      </c>
      <c r="R213" s="30">
        <v>21</v>
      </c>
      <c r="T213" s="30">
        <v>5</v>
      </c>
      <c r="V213" s="30">
        <v>0</v>
      </c>
      <c r="X213" s="30">
        <v>68</v>
      </c>
      <c r="AA213" s="30">
        <v>76</v>
      </c>
      <c r="AC213" s="30">
        <v>85</v>
      </c>
      <c r="AE213" s="30">
        <v>29</v>
      </c>
      <c r="AF213" s="30" t="s">
        <v>121</v>
      </c>
      <c r="AG213" s="30">
        <v>8</v>
      </c>
      <c r="AH213" s="30" t="s">
        <v>121</v>
      </c>
      <c r="AI213" s="30">
        <v>23</v>
      </c>
      <c r="AJ213" s="30" t="s">
        <v>121</v>
      </c>
      <c r="AK213" s="30">
        <v>64</v>
      </c>
      <c r="AL213" s="30" t="s">
        <v>121</v>
      </c>
      <c r="AM213" s="30">
        <v>69</v>
      </c>
      <c r="AO213" s="30">
        <v>55</v>
      </c>
      <c r="AQ213" s="495">
        <v>35</v>
      </c>
      <c r="AS213" s="30">
        <v>87</v>
      </c>
      <c r="AU213">
        <v>65</v>
      </c>
      <c r="BA213" s="30">
        <v>11</v>
      </c>
      <c r="BC213" s="30">
        <v>84</v>
      </c>
      <c r="BE213" s="30">
        <v>20</v>
      </c>
      <c r="BU213" s="30">
        <v>11</v>
      </c>
      <c r="CC213" s="30">
        <v>1</v>
      </c>
    </row>
    <row r="214" spans="2:81" x14ac:dyDescent="0.2">
      <c r="B214" s="30">
        <v>54</v>
      </c>
      <c r="D214" s="30">
        <v>14</v>
      </c>
      <c r="F214" s="30">
        <v>11</v>
      </c>
      <c r="G214" s="34"/>
      <c r="H214" s="30">
        <v>64</v>
      </c>
      <c r="J214" s="30">
        <v>9</v>
      </c>
      <c r="L214" s="30">
        <v>36</v>
      </c>
      <c r="N214" s="30">
        <v>78</v>
      </c>
      <c r="P214" s="30">
        <v>65</v>
      </c>
      <c r="R214" s="30">
        <v>93</v>
      </c>
      <c r="T214" s="30">
        <v>78</v>
      </c>
      <c r="V214" s="30">
        <v>30</v>
      </c>
      <c r="X214" s="30">
        <v>33</v>
      </c>
      <c r="AA214" s="30">
        <v>68</v>
      </c>
      <c r="AC214" s="30">
        <v>52</v>
      </c>
      <c r="AE214" s="30">
        <v>22</v>
      </c>
      <c r="AG214" s="30">
        <v>36</v>
      </c>
      <c r="AI214" s="30">
        <v>56</v>
      </c>
      <c r="AK214" s="30">
        <v>32</v>
      </c>
      <c r="AM214" s="30">
        <v>49</v>
      </c>
      <c r="AO214" s="30">
        <v>25</v>
      </c>
      <c r="AQ214" s="495">
        <v>66</v>
      </c>
      <c r="AS214" s="30">
        <v>0</v>
      </c>
      <c r="AU214">
        <v>12</v>
      </c>
      <c r="BA214" s="30">
        <v>8</v>
      </c>
      <c r="BC214" s="30">
        <v>1</v>
      </c>
      <c r="BE214" s="30">
        <v>21</v>
      </c>
      <c r="BU214" s="30">
        <v>35</v>
      </c>
      <c r="CC214" s="30">
        <v>45</v>
      </c>
    </row>
    <row r="215" spans="2:81" x14ac:dyDescent="0.2">
      <c r="B215" s="30">
        <v>15</v>
      </c>
      <c r="D215" s="30">
        <v>10</v>
      </c>
      <c r="F215" s="30">
        <v>0</v>
      </c>
      <c r="G215" s="34"/>
      <c r="H215" s="30">
        <v>16</v>
      </c>
      <c r="J215" s="30">
        <v>10</v>
      </c>
      <c r="L215" s="30">
        <v>54</v>
      </c>
      <c r="N215" s="30">
        <v>60</v>
      </c>
      <c r="P215" s="30">
        <v>65</v>
      </c>
      <c r="R215" s="30">
        <v>63</v>
      </c>
      <c r="T215" s="30">
        <v>79</v>
      </c>
      <c r="V215" s="30">
        <v>10</v>
      </c>
      <c r="X215" s="30">
        <v>89</v>
      </c>
      <c r="AA215" s="30">
        <v>33</v>
      </c>
      <c r="AC215" s="30">
        <v>79</v>
      </c>
      <c r="AE215" s="30">
        <v>23</v>
      </c>
      <c r="AG215" s="30">
        <v>93</v>
      </c>
      <c r="AI215" s="30">
        <v>51</v>
      </c>
      <c r="AK215" s="30">
        <v>95</v>
      </c>
      <c r="AM215" s="30">
        <v>66</v>
      </c>
      <c r="AO215" s="30">
        <v>53</v>
      </c>
      <c r="AQ215" s="495">
        <v>22</v>
      </c>
      <c r="AS215" s="30">
        <v>10</v>
      </c>
      <c r="AU215">
        <v>13</v>
      </c>
      <c r="BA215" s="30">
        <v>17</v>
      </c>
      <c r="BC215" s="30">
        <v>28</v>
      </c>
      <c r="BE215" s="30">
        <v>48</v>
      </c>
      <c r="BU215" s="30">
        <v>24</v>
      </c>
      <c r="CC215" s="30">
        <v>74</v>
      </c>
    </row>
    <row r="216" spans="2:81" x14ac:dyDescent="0.2">
      <c r="B216" s="30">
        <v>85</v>
      </c>
      <c r="D216" s="30">
        <v>44</v>
      </c>
      <c r="F216" s="30">
        <v>18</v>
      </c>
      <c r="G216" s="34"/>
      <c r="H216" s="30">
        <v>25</v>
      </c>
      <c r="J216" s="30">
        <v>44</v>
      </c>
      <c r="L216" s="30">
        <v>46</v>
      </c>
      <c r="N216" s="30">
        <v>54</v>
      </c>
      <c r="P216" s="30">
        <v>66</v>
      </c>
      <c r="R216" s="30">
        <v>47</v>
      </c>
      <c r="T216" s="30">
        <v>9</v>
      </c>
      <c r="V216" s="30">
        <v>19</v>
      </c>
      <c r="X216" s="30">
        <v>80</v>
      </c>
      <c r="AA216" s="30">
        <v>89</v>
      </c>
      <c r="AC216" s="30">
        <v>62</v>
      </c>
      <c r="AE216" s="30">
        <v>56</v>
      </c>
      <c r="AG216" s="30">
        <v>3</v>
      </c>
      <c r="AI216" s="30">
        <v>69</v>
      </c>
      <c r="AK216" s="30">
        <v>11</v>
      </c>
      <c r="AM216" s="30">
        <v>24</v>
      </c>
      <c r="AO216" s="30">
        <v>25</v>
      </c>
      <c r="AQ216" s="495">
        <v>60</v>
      </c>
      <c r="AS216" s="30">
        <v>30</v>
      </c>
      <c r="AU216">
        <v>19</v>
      </c>
      <c r="BA216" s="30">
        <v>58</v>
      </c>
      <c r="BC216" s="30">
        <v>13</v>
      </c>
      <c r="BE216" s="30">
        <v>74</v>
      </c>
      <c r="BU216" s="30">
        <v>19</v>
      </c>
      <c r="CC216" s="30">
        <v>84</v>
      </c>
    </row>
    <row r="217" spans="2:81" x14ac:dyDescent="0.2">
      <c r="B217" s="30">
        <v>54</v>
      </c>
      <c r="D217" s="30">
        <v>62</v>
      </c>
      <c r="F217" s="30">
        <v>42</v>
      </c>
      <c r="G217" s="34"/>
      <c r="H217" s="30">
        <v>29</v>
      </c>
      <c r="J217" s="30">
        <v>38</v>
      </c>
      <c r="L217" s="30">
        <v>54</v>
      </c>
      <c r="N217" s="30">
        <v>51</v>
      </c>
      <c r="P217" s="30">
        <v>66</v>
      </c>
      <c r="R217" s="30">
        <v>58</v>
      </c>
      <c r="T217" s="30">
        <v>35</v>
      </c>
      <c r="V217" s="30">
        <v>26</v>
      </c>
      <c r="X217" s="30">
        <v>76</v>
      </c>
      <c r="AA217" s="30">
        <v>80</v>
      </c>
      <c r="AC217" s="30">
        <v>73</v>
      </c>
      <c r="AE217" s="30">
        <v>19</v>
      </c>
      <c r="AG217" s="30">
        <v>12</v>
      </c>
      <c r="AI217" s="30">
        <v>52</v>
      </c>
      <c r="AK217" s="30">
        <v>26</v>
      </c>
      <c r="AM217" s="30">
        <v>56</v>
      </c>
      <c r="AO217" s="30">
        <v>33</v>
      </c>
      <c r="AQ217" s="495">
        <v>22</v>
      </c>
      <c r="AS217" s="30">
        <v>6</v>
      </c>
      <c r="AU217">
        <v>21</v>
      </c>
      <c r="BA217" s="30">
        <v>22</v>
      </c>
      <c r="BC217" s="30">
        <v>22</v>
      </c>
      <c r="BE217" s="30">
        <v>58</v>
      </c>
      <c r="BU217" s="30">
        <v>16</v>
      </c>
      <c r="CC217" s="30">
        <v>46</v>
      </c>
    </row>
    <row r="218" spans="2:81" x14ac:dyDescent="0.2">
      <c r="B218" s="30">
        <v>21</v>
      </c>
      <c r="D218" s="30">
        <v>13</v>
      </c>
      <c r="F218" s="30">
        <v>74</v>
      </c>
      <c r="G218" s="34"/>
      <c r="H218" s="30">
        <v>80</v>
      </c>
      <c r="J218" s="30">
        <v>51</v>
      </c>
      <c r="L218" s="30">
        <v>57</v>
      </c>
      <c r="N218" s="30">
        <v>56</v>
      </c>
      <c r="P218" s="30">
        <v>67</v>
      </c>
      <c r="R218" s="30">
        <v>93</v>
      </c>
      <c r="T218" s="30">
        <v>16</v>
      </c>
      <c r="V218" s="30">
        <v>33</v>
      </c>
      <c r="X218" s="30">
        <v>99</v>
      </c>
      <c r="AA218" s="30">
        <v>76</v>
      </c>
      <c r="AC218" s="30">
        <v>14</v>
      </c>
      <c r="AE218" s="30">
        <v>18</v>
      </c>
      <c r="AG218" s="30">
        <v>47</v>
      </c>
      <c r="AI218" s="30">
        <v>20</v>
      </c>
      <c r="AK218" s="30">
        <v>49</v>
      </c>
      <c r="AM218" s="30">
        <v>45</v>
      </c>
      <c r="AO218" s="30">
        <v>43</v>
      </c>
      <c r="AQ218" s="495">
        <v>55</v>
      </c>
      <c r="AS218" s="30">
        <v>68</v>
      </c>
      <c r="AU218">
        <v>56</v>
      </c>
      <c r="BA218" s="30">
        <v>0</v>
      </c>
      <c r="BC218" s="30">
        <v>17</v>
      </c>
      <c r="BE218" s="30">
        <v>19</v>
      </c>
      <c r="BU218" s="30">
        <v>47</v>
      </c>
      <c r="CC218" s="30">
        <v>14</v>
      </c>
    </row>
    <row r="219" spans="2:81" x14ac:dyDescent="0.2">
      <c r="B219" s="30">
        <v>36</v>
      </c>
      <c r="D219" s="30">
        <v>17</v>
      </c>
      <c r="F219" s="30">
        <v>69</v>
      </c>
      <c r="G219" s="34"/>
      <c r="H219" s="30">
        <v>91</v>
      </c>
      <c r="J219" s="30">
        <v>30</v>
      </c>
      <c r="L219" s="30">
        <v>26</v>
      </c>
      <c r="N219" s="30">
        <v>6</v>
      </c>
      <c r="P219" s="30">
        <v>67</v>
      </c>
      <c r="R219" s="30">
        <v>74</v>
      </c>
      <c r="T219" s="30">
        <v>27</v>
      </c>
      <c r="V219" s="30">
        <v>80</v>
      </c>
      <c r="X219" s="30">
        <v>49</v>
      </c>
      <c r="AA219" s="30">
        <v>99</v>
      </c>
      <c r="AC219" s="30">
        <v>47</v>
      </c>
      <c r="AE219" s="30">
        <v>71</v>
      </c>
      <c r="AG219" s="30">
        <v>6</v>
      </c>
      <c r="AI219" s="30">
        <v>68</v>
      </c>
      <c r="AK219" s="30">
        <v>28</v>
      </c>
      <c r="AM219" s="30">
        <v>24</v>
      </c>
      <c r="AO219" s="30">
        <v>67</v>
      </c>
      <c r="AQ219" s="495">
        <v>49</v>
      </c>
      <c r="AS219" s="30">
        <v>60</v>
      </c>
      <c r="AU219">
        <v>54</v>
      </c>
      <c r="BA219" s="30">
        <v>13</v>
      </c>
      <c r="BC219" s="30">
        <v>63</v>
      </c>
      <c r="BE219" s="30">
        <v>9</v>
      </c>
      <c r="BU219" s="30">
        <v>39</v>
      </c>
      <c r="CC219" s="30">
        <v>19</v>
      </c>
    </row>
    <row r="220" spans="2:81" x14ac:dyDescent="0.2">
      <c r="B220" s="30">
        <v>13</v>
      </c>
      <c r="D220" s="30">
        <v>87</v>
      </c>
      <c r="F220" s="30">
        <v>12</v>
      </c>
      <c r="G220" s="34"/>
      <c r="H220" s="30">
        <v>77</v>
      </c>
      <c r="J220" s="30">
        <v>43</v>
      </c>
      <c r="L220" s="30">
        <v>74</v>
      </c>
      <c r="N220" s="30">
        <v>79</v>
      </c>
      <c r="P220" s="30">
        <v>67</v>
      </c>
      <c r="R220" s="30">
        <v>56</v>
      </c>
      <c r="T220" s="30">
        <v>96</v>
      </c>
      <c r="V220" s="30">
        <v>92</v>
      </c>
      <c r="X220" s="30">
        <v>10</v>
      </c>
      <c r="AA220" s="30">
        <v>49</v>
      </c>
      <c r="AC220" s="30">
        <v>59</v>
      </c>
      <c r="AE220" s="30">
        <v>94</v>
      </c>
      <c r="AG220" s="30">
        <v>45</v>
      </c>
      <c r="AI220" s="30">
        <v>9</v>
      </c>
      <c r="AK220" s="30">
        <v>11</v>
      </c>
      <c r="AM220" s="30">
        <v>61</v>
      </c>
      <c r="AO220" s="30">
        <v>36</v>
      </c>
      <c r="AQ220" s="495">
        <v>25</v>
      </c>
      <c r="AS220" s="30">
        <v>23</v>
      </c>
      <c r="AU220">
        <v>73</v>
      </c>
      <c r="BA220" s="30">
        <v>5</v>
      </c>
      <c r="BC220" s="30">
        <v>62</v>
      </c>
      <c r="BE220" s="30">
        <v>54</v>
      </c>
      <c r="BU220" s="30">
        <v>2</v>
      </c>
      <c r="CC220" s="30">
        <v>59</v>
      </c>
    </row>
    <row r="221" spans="2:81" x14ac:dyDescent="0.2">
      <c r="B221" s="30">
        <v>28</v>
      </c>
      <c r="D221" s="30">
        <v>58</v>
      </c>
      <c r="F221" s="30">
        <v>32</v>
      </c>
      <c r="G221" s="34"/>
      <c r="H221" s="30">
        <v>87</v>
      </c>
      <c r="J221" s="30">
        <v>0</v>
      </c>
      <c r="L221" s="30">
        <v>97</v>
      </c>
      <c r="N221" s="30">
        <v>72</v>
      </c>
      <c r="P221" s="30">
        <v>68</v>
      </c>
      <c r="R221" s="30">
        <v>74</v>
      </c>
      <c r="T221" s="30">
        <v>69</v>
      </c>
      <c r="V221" s="30">
        <v>69</v>
      </c>
      <c r="X221" s="30">
        <v>54</v>
      </c>
      <c r="AA221" s="30">
        <v>10</v>
      </c>
      <c r="AC221" s="30">
        <v>83</v>
      </c>
      <c r="AE221" s="30">
        <v>72</v>
      </c>
      <c r="AG221" s="30">
        <v>48</v>
      </c>
      <c r="AI221" s="30">
        <v>54</v>
      </c>
      <c r="AK221" s="30">
        <v>40</v>
      </c>
      <c r="AM221" s="30">
        <v>9</v>
      </c>
      <c r="AO221" s="30">
        <v>68</v>
      </c>
      <c r="AQ221" s="495">
        <v>79</v>
      </c>
      <c r="AS221" s="30">
        <v>21</v>
      </c>
      <c r="AU221">
        <v>66</v>
      </c>
      <c r="BA221" s="30">
        <v>27</v>
      </c>
      <c r="BC221" s="30">
        <v>82</v>
      </c>
      <c r="BE221" s="30">
        <v>18</v>
      </c>
      <c r="BU221" s="30">
        <v>42</v>
      </c>
      <c r="CC221" s="30">
        <v>18</v>
      </c>
    </row>
    <row r="222" spans="2:81" x14ac:dyDescent="0.2">
      <c r="B222" s="30">
        <v>82</v>
      </c>
      <c r="D222" s="30">
        <v>27</v>
      </c>
      <c r="F222" s="30">
        <v>34</v>
      </c>
      <c r="G222" s="34"/>
      <c r="H222" s="30">
        <v>33</v>
      </c>
      <c r="J222" s="30">
        <v>85</v>
      </c>
      <c r="L222" s="30">
        <v>8</v>
      </c>
      <c r="N222" s="30">
        <v>57</v>
      </c>
      <c r="P222" s="30">
        <v>68</v>
      </c>
      <c r="R222" s="30">
        <v>8</v>
      </c>
      <c r="T222" s="30">
        <v>50</v>
      </c>
      <c r="V222" s="30">
        <v>28</v>
      </c>
      <c r="X222" s="30">
        <v>59</v>
      </c>
      <c r="AA222" s="30">
        <v>54</v>
      </c>
      <c r="AC222" s="30">
        <v>26</v>
      </c>
      <c r="AE222" s="30">
        <v>10</v>
      </c>
      <c r="AG222" s="30">
        <v>44</v>
      </c>
      <c r="AI222" s="30">
        <v>27</v>
      </c>
      <c r="AK222" s="30">
        <v>30</v>
      </c>
      <c r="AM222" s="30">
        <v>16</v>
      </c>
      <c r="AO222" s="30">
        <v>13</v>
      </c>
      <c r="AQ222" s="495">
        <v>9</v>
      </c>
      <c r="AS222" s="30">
        <v>34</v>
      </c>
      <c r="AU222">
        <v>15</v>
      </c>
      <c r="BA222" s="30">
        <v>64</v>
      </c>
      <c r="BC222" s="30">
        <v>31</v>
      </c>
      <c r="BE222" s="30">
        <v>0</v>
      </c>
      <c r="BU222" s="30">
        <v>10</v>
      </c>
      <c r="CC222" s="30">
        <v>43</v>
      </c>
    </row>
    <row r="223" spans="2:81" x14ac:dyDescent="0.2">
      <c r="B223" s="30">
        <v>52</v>
      </c>
      <c r="D223" s="30">
        <v>68</v>
      </c>
      <c r="F223" s="30">
        <v>28</v>
      </c>
      <c r="G223" s="34"/>
      <c r="H223" s="30">
        <v>17</v>
      </c>
      <c r="J223" s="30">
        <v>77</v>
      </c>
      <c r="L223" s="30">
        <v>28</v>
      </c>
      <c r="N223" s="30">
        <v>54</v>
      </c>
      <c r="P223" s="30">
        <v>69</v>
      </c>
      <c r="R223" s="30">
        <v>52</v>
      </c>
      <c r="T223" s="30">
        <v>85</v>
      </c>
      <c r="V223" s="30">
        <v>69</v>
      </c>
      <c r="X223" s="30">
        <v>78</v>
      </c>
      <c r="AA223" s="30">
        <v>59</v>
      </c>
      <c r="AC223" s="30">
        <v>33</v>
      </c>
      <c r="AE223" s="30">
        <v>40</v>
      </c>
      <c r="AG223" s="30">
        <v>65</v>
      </c>
      <c r="AI223" s="30">
        <v>71</v>
      </c>
      <c r="AK223" s="30">
        <v>69</v>
      </c>
      <c r="AM223" s="30">
        <v>74</v>
      </c>
      <c r="AO223" s="30">
        <v>13</v>
      </c>
      <c r="AQ223" s="495">
        <v>22</v>
      </c>
      <c r="AS223" s="30">
        <v>49</v>
      </c>
      <c r="AU223">
        <v>57</v>
      </c>
      <c r="BA223" s="30">
        <v>51</v>
      </c>
      <c r="BC223" s="30">
        <v>0</v>
      </c>
      <c r="BE223" s="30">
        <v>60</v>
      </c>
      <c r="BU223" s="770">
        <f>SUM(BU6:BU222)</f>
        <v>9545</v>
      </c>
      <c r="CC223" s="30">
        <v>7</v>
      </c>
    </row>
    <row r="224" spans="2:81" x14ac:dyDescent="0.2">
      <c r="B224" s="30">
        <v>40</v>
      </c>
      <c r="D224" s="30">
        <v>64</v>
      </c>
      <c r="F224" s="30">
        <v>22</v>
      </c>
      <c r="G224" s="34"/>
      <c r="H224" s="30">
        <v>34</v>
      </c>
      <c r="J224" s="30">
        <v>63</v>
      </c>
      <c r="L224" s="30">
        <v>48</v>
      </c>
      <c r="N224" s="30">
        <v>28</v>
      </c>
      <c r="P224" s="30">
        <v>69</v>
      </c>
      <c r="R224" s="30">
        <v>19</v>
      </c>
      <c r="T224" s="30">
        <v>68</v>
      </c>
      <c r="V224" s="30">
        <v>96</v>
      </c>
      <c r="X224" s="30">
        <v>25</v>
      </c>
      <c r="AA224" s="30">
        <v>78</v>
      </c>
      <c r="AC224" s="30">
        <v>36</v>
      </c>
      <c r="AE224" s="30">
        <v>3</v>
      </c>
      <c r="AG224" s="30">
        <v>57</v>
      </c>
      <c r="AI224" s="30">
        <v>10</v>
      </c>
      <c r="AK224" s="30">
        <v>98</v>
      </c>
      <c r="AM224" s="30">
        <v>27</v>
      </c>
      <c r="AO224" s="30">
        <v>36</v>
      </c>
      <c r="AQ224" s="495">
        <v>64</v>
      </c>
      <c r="AS224" s="30">
        <v>28</v>
      </c>
      <c r="AU224">
        <v>47</v>
      </c>
      <c r="BA224" s="30">
        <v>43</v>
      </c>
      <c r="BC224" s="30">
        <v>75</v>
      </c>
      <c r="BE224" s="30">
        <v>62</v>
      </c>
      <c r="BU224" s="30">
        <v>9545</v>
      </c>
      <c r="CC224" s="30">
        <v>15</v>
      </c>
    </row>
    <row r="225" spans="2:81" x14ac:dyDescent="0.2">
      <c r="B225" s="30">
        <v>14</v>
      </c>
      <c r="D225" s="30">
        <v>28</v>
      </c>
      <c r="F225" s="30">
        <v>64</v>
      </c>
      <c r="G225" s="34"/>
      <c r="H225" s="30">
        <v>30</v>
      </c>
      <c r="J225" s="30">
        <v>86</v>
      </c>
      <c r="L225" s="30">
        <v>21</v>
      </c>
      <c r="N225" s="30">
        <v>21</v>
      </c>
      <c r="P225" s="30">
        <v>70</v>
      </c>
      <c r="R225" s="30">
        <v>51</v>
      </c>
      <c r="T225" s="30">
        <v>56</v>
      </c>
      <c r="V225" s="30">
        <v>48</v>
      </c>
      <c r="X225" s="30">
        <v>23</v>
      </c>
      <c r="AA225" s="30">
        <v>25</v>
      </c>
      <c r="AC225" s="30">
        <v>10</v>
      </c>
      <c r="AE225" s="30">
        <v>83</v>
      </c>
      <c r="AG225" s="30">
        <v>24</v>
      </c>
      <c r="AI225" s="30">
        <v>30</v>
      </c>
      <c r="AK225" s="30">
        <v>14</v>
      </c>
      <c r="AM225" s="30">
        <v>6</v>
      </c>
      <c r="AO225" s="30">
        <v>63</v>
      </c>
      <c r="AQ225" s="495">
        <v>24</v>
      </c>
      <c r="AS225" s="30">
        <v>52</v>
      </c>
      <c r="AU225">
        <v>29</v>
      </c>
      <c r="BA225" s="30">
        <v>0</v>
      </c>
      <c r="BC225" s="30">
        <v>22</v>
      </c>
      <c r="BE225" s="30">
        <v>34</v>
      </c>
      <c r="CC225" s="30">
        <v>67</v>
      </c>
    </row>
    <row r="226" spans="2:81" x14ac:dyDescent="0.2">
      <c r="B226" s="30">
        <v>42</v>
      </c>
      <c r="D226" s="30">
        <v>60</v>
      </c>
      <c r="F226" s="30">
        <v>11</v>
      </c>
      <c r="G226" s="34"/>
      <c r="H226" s="30">
        <v>17</v>
      </c>
      <c r="J226" s="30">
        <v>41</v>
      </c>
      <c r="L226" s="30">
        <v>90</v>
      </c>
      <c r="N226" s="30">
        <v>49</v>
      </c>
      <c r="P226" s="30">
        <v>70</v>
      </c>
      <c r="R226" s="30">
        <v>36</v>
      </c>
      <c r="T226" s="30">
        <v>70</v>
      </c>
      <c r="V226" s="30">
        <v>62</v>
      </c>
      <c r="X226" s="30">
        <v>98</v>
      </c>
      <c r="AA226" s="30">
        <v>23</v>
      </c>
      <c r="AC226" s="30">
        <v>34</v>
      </c>
      <c r="AE226" s="30">
        <v>64</v>
      </c>
      <c r="AG226" s="30">
        <v>71</v>
      </c>
      <c r="AI226" s="30">
        <v>9</v>
      </c>
      <c r="AK226" s="30">
        <v>13</v>
      </c>
      <c r="AM226" s="30">
        <v>94</v>
      </c>
      <c r="AO226" s="30">
        <v>48</v>
      </c>
      <c r="AQ226" s="495">
        <v>3</v>
      </c>
      <c r="AS226" s="30">
        <v>36</v>
      </c>
      <c r="AU226">
        <v>84</v>
      </c>
      <c r="BA226" s="30">
        <v>61</v>
      </c>
      <c r="BC226" s="30">
        <v>4</v>
      </c>
      <c r="BE226" s="30">
        <v>21</v>
      </c>
      <c r="CC226" s="30">
        <v>49</v>
      </c>
    </row>
    <row r="227" spans="2:81" x14ac:dyDescent="0.2">
      <c r="B227" s="30">
        <v>23</v>
      </c>
      <c r="D227" s="30">
        <v>95</v>
      </c>
      <c r="F227" s="30">
        <v>23</v>
      </c>
      <c r="G227" s="34"/>
      <c r="H227" s="30">
        <v>75</v>
      </c>
      <c r="J227" s="30">
        <v>71</v>
      </c>
      <c r="L227" s="30">
        <v>90</v>
      </c>
      <c r="N227" s="30">
        <v>49</v>
      </c>
      <c r="P227" s="30">
        <v>70</v>
      </c>
      <c r="R227" s="30">
        <v>34</v>
      </c>
      <c r="T227" s="30">
        <v>7</v>
      </c>
      <c r="V227" s="30">
        <v>28</v>
      </c>
      <c r="X227" s="30">
        <v>28</v>
      </c>
      <c r="AA227" s="30">
        <v>98</v>
      </c>
      <c r="AC227" s="30">
        <v>26</v>
      </c>
      <c r="AE227" s="30">
        <v>5</v>
      </c>
      <c r="AG227" s="30">
        <v>16</v>
      </c>
      <c r="AI227" s="30">
        <v>38</v>
      </c>
      <c r="AK227" s="30">
        <v>22</v>
      </c>
      <c r="AM227" s="30">
        <v>30</v>
      </c>
      <c r="AO227" s="30">
        <v>8</v>
      </c>
      <c r="AQ227" s="495">
        <v>52</v>
      </c>
      <c r="AS227" s="30">
        <v>82</v>
      </c>
      <c r="AU227">
        <v>6</v>
      </c>
      <c r="BA227" s="30">
        <v>41</v>
      </c>
      <c r="BC227" s="30">
        <v>44</v>
      </c>
      <c r="BE227" s="30">
        <v>42</v>
      </c>
      <c r="CC227" s="30">
        <v>17</v>
      </c>
    </row>
    <row r="228" spans="2:81" x14ac:dyDescent="0.2">
      <c r="B228" s="30">
        <v>45</v>
      </c>
      <c r="D228" s="30">
        <v>59</v>
      </c>
      <c r="F228" s="30">
        <v>34</v>
      </c>
      <c r="G228" s="34"/>
      <c r="H228" s="30">
        <v>62</v>
      </c>
      <c r="J228" s="30">
        <v>98</v>
      </c>
      <c r="L228" s="30">
        <v>48</v>
      </c>
      <c r="N228" s="30">
        <v>31</v>
      </c>
      <c r="P228" s="30">
        <v>71</v>
      </c>
      <c r="R228" s="30">
        <v>26</v>
      </c>
      <c r="T228" s="30">
        <v>54</v>
      </c>
      <c r="V228" s="30">
        <v>21</v>
      </c>
      <c r="X228" s="30">
        <v>9</v>
      </c>
      <c r="AA228" s="30">
        <v>28</v>
      </c>
      <c r="AC228" s="30">
        <v>89</v>
      </c>
      <c r="AE228" s="30">
        <v>53</v>
      </c>
      <c r="AG228" s="30">
        <v>52</v>
      </c>
      <c r="AI228" s="30">
        <v>20</v>
      </c>
      <c r="AK228" s="30">
        <v>90</v>
      </c>
      <c r="AM228" s="30">
        <v>29</v>
      </c>
      <c r="AO228" s="30">
        <v>28</v>
      </c>
      <c r="AQ228" s="495">
        <v>25</v>
      </c>
      <c r="AS228" s="30">
        <v>31</v>
      </c>
      <c r="AU228">
        <v>66</v>
      </c>
      <c r="BA228" s="30">
        <v>27</v>
      </c>
      <c r="BC228" s="30">
        <v>32</v>
      </c>
      <c r="BE228" s="30">
        <v>10</v>
      </c>
      <c r="CC228" s="30">
        <v>55</v>
      </c>
    </row>
    <row r="229" spans="2:81" x14ac:dyDescent="0.2">
      <c r="B229" s="30">
        <v>81</v>
      </c>
      <c r="D229" s="30">
        <v>88</v>
      </c>
      <c r="F229" s="30">
        <v>51</v>
      </c>
      <c r="G229" s="34"/>
      <c r="H229" s="30">
        <v>54</v>
      </c>
      <c r="J229" s="30">
        <v>15</v>
      </c>
      <c r="L229" s="30">
        <v>55</v>
      </c>
      <c r="N229" s="30">
        <v>38</v>
      </c>
      <c r="P229" s="30">
        <v>71</v>
      </c>
      <c r="R229" s="30">
        <v>48</v>
      </c>
      <c r="T229" s="30">
        <v>7</v>
      </c>
      <c r="V229" s="30">
        <v>83</v>
      </c>
      <c r="X229" s="30">
        <v>28</v>
      </c>
      <c r="AA229" s="30">
        <v>9</v>
      </c>
      <c r="AC229" s="30">
        <v>75</v>
      </c>
      <c r="AE229" s="30">
        <v>12</v>
      </c>
      <c r="AG229" s="30">
        <v>32</v>
      </c>
      <c r="AI229" s="30">
        <v>26</v>
      </c>
      <c r="AK229" s="30">
        <v>76</v>
      </c>
      <c r="AM229" s="30">
        <v>34</v>
      </c>
      <c r="AO229" s="30">
        <v>75</v>
      </c>
      <c r="AQ229" s="495">
        <v>34</v>
      </c>
      <c r="AS229" s="30">
        <v>51</v>
      </c>
      <c r="AU229">
        <v>99</v>
      </c>
      <c r="BA229" s="30">
        <v>66</v>
      </c>
      <c r="BC229" s="30">
        <v>85</v>
      </c>
      <c r="BE229" s="30">
        <v>33</v>
      </c>
      <c r="CC229" s="30">
        <v>19</v>
      </c>
    </row>
    <row r="230" spans="2:81" x14ac:dyDescent="0.2">
      <c r="B230" s="30">
        <v>80</v>
      </c>
      <c r="D230" s="30">
        <v>93</v>
      </c>
      <c r="F230" s="30">
        <v>83</v>
      </c>
      <c r="G230" s="34"/>
      <c r="H230" s="30">
        <v>59</v>
      </c>
      <c r="J230" s="30">
        <v>49</v>
      </c>
      <c r="L230" s="30">
        <v>43</v>
      </c>
      <c r="N230" s="30">
        <v>22</v>
      </c>
      <c r="P230" s="30">
        <v>71</v>
      </c>
      <c r="R230" s="30">
        <v>40</v>
      </c>
      <c r="T230" s="30">
        <v>48</v>
      </c>
      <c r="V230" s="30">
        <v>22</v>
      </c>
      <c r="X230" s="30">
        <v>24</v>
      </c>
      <c r="AA230" s="30">
        <v>28</v>
      </c>
      <c r="AC230" s="30">
        <v>69</v>
      </c>
      <c r="AE230" s="30">
        <v>12</v>
      </c>
      <c r="AG230" s="30">
        <v>80</v>
      </c>
      <c r="AI230" s="30">
        <v>30</v>
      </c>
      <c r="AK230" s="30">
        <v>15</v>
      </c>
      <c r="AM230" s="30">
        <v>75</v>
      </c>
      <c r="AO230" s="30">
        <v>62</v>
      </c>
      <c r="AQ230" s="495">
        <v>81</v>
      </c>
      <c r="AS230" s="30">
        <v>51</v>
      </c>
      <c r="AU230">
        <v>45</v>
      </c>
      <c r="BA230" s="30">
        <v>26</v>
      </c>
      <c r="BC230" s="30">
        <v>48</v>
      </c>
      <c r="BE230" s="30">
        <v>83</v>
      </c>
      <c r="CC230" s="30">
        <v>47</v>
      </c>
    </row>
    <row r="231" spans="2:81" x14ac:dyDescent="0.2">
      <c r="B231" s="30">
        <v>96</v>
      </c>
      <c r="D231" s="30">
        <v>88</v>
      </c>
      <c r="F231" s="30">
        <v>11</v>
      </c>
      <c r="G231" s="34"/>
      <c r="H231" s="30">
        <v>74</v>
      </c>
      <c r="J231" s="30">
        <v>82</v>
      </c>
      <c r="L231" s="30">
        <v>29</v>
      </c>
      <c r="N231" s="30">
        <v>37</v>
      </c>
      <c r="P231" s="30">
        <v>72</v>
      </c>
      <c r="R231" s="30">
        <v>40</v>
      </c>
      <c r="T231" s="30">
        <v>33</v>
      </c>
      <c r="V231" s="30">
        <v>45</v>
      </c>
      <c r="X231" s="30">
        <v>80</v>
      </c>
      <c r="AA231" s="30">
        <v>24</v>
      </c>
      <c r="AC231" s="30">
        <v>68</v>
      </c>
      <c r="AE231" s="30">
        <v>17</v>
      </c>
      <c r="AG231" s="30">
        <v>13</v>
      </c>
      <c r="AI231" s="30">
        <v>88</v>
      </c>
      <c r="AK231" s="30">
        <v>55</v>
      </c>
      <c r="AM231" s="30">
        <v>14</v>
      </c>
      <c r="AO231" s="30">
        <v>70</v>
      </c>
      <c r="AQ231" s="495">
        <v>32</v>
      </c>
      <c r="AS231" s="30">
        <v>67</v>
      </c>
      <c r="AU231">
        <v>65</v>
      </c>
      <c r="BA231" s="30">
        <v>28</v>
      </c>
      <c r="BC231" s="30">
        <v>39</v>
      </c>
      <c r="BE231" s="30">
        <v>18</v>
      </c>
      <c r="CC231" s="30">
        <v>14</v>
      </c>
    </row>
    <row r="232" spans="2:81" x14ac:dyDescent="0.2">
      <c r="B232" s="30">
        <v>23</v>
      </c>
      <c r="D232" s="30">
        <v>50</v>
      </c>
      <c r="F232" s="30">
        <v>36</v>
      </c>
      <c r="G232" s="34"/>
      <c r="H232" s="30">
        <v>29</v>
      </c>
      <c r="J232" s="30">
        <v>28</v>
      </c>
      <c r="L232" s="30">
        <v>29</v>
      </c>
      <c r="N232" s="30">
        <v>44</v>
      </c>
      <c r="P232" s="30">
        <v>72</v>
      </c>
      <c r="R232" s="30">
        <v>24</v>
      </c>
      <c r="T232" s="30">
        <v>45</v>
      </c>
      <c r="V232" s="30">
        <v>35</v>
      </c>
      <c r="X232" s="30">
        <v>82</v>
      </c>
      <c r="AA232" s="30">
        <v>80</v>
      </c>
      <c r="AC232" s="30">
        <v>37</v>
      </c>
      <c r="AE232" s="30">
        <v>23</v>
      </c>
      <c r="AG232" s="30">
        <v>38</v>
      </c>
      <c r="AI232" s="30">
        <v>93</v>
      </c>
      <c r="AK232" s="30">
        <v>36</v>
      </c>
      <c r="AM232" s="30">
        <v>12</v>
      </c>
      <c r="AO232" s="30">
        <v>0</v>
      </c>
      <c r="AQ232" s="495">
        <v>33</v>
      </c>
      <c r="AS232" s="30">
        <v>64</v>
      </c>
      <c r="AU232">
        <v>80</v>
      </c>
      <c r="BA232" s="30">
        <v>58</v>
      </c>
      <c r="BC232" s="30">
        <v>47</v>
      </c>
      <c r="BE232" s="30">
        <v>40</v>
      </c>
      <c r="CC232" s="30">
        <v>66</v>
      </c>
    </row>
    <row r="233" spans="2:81" x14ac:dyDescent="0.2">
      <c r="B233" s="30">
        <v>16</v>
      </c>
      <c r="D233" s="30">
        <v>78</v>
      </c>
      <c r="F233" s="30">
        <v>15</v>
      </c>
      <c r="G233" s="34"/>
      <c r="H233" s="30">
        <v>54</v>
      </c>
      <c r="J233" s="30">
        <v>28</v>
      </c>
      <c r="L233" s="30">
        <v>65</v>
      </c>
      <c r="N233" s="30">
        <v>28</v>
      </c>
      <c r="P233" s="30">
        <v>72</v>
      </c>
      <c r="R233" s="30">
        <v>90</v>
      </c>
      <c r="T233" s="30">
        <v>77</v>
      </c>
      <c r="V233" s="30">
        <v>27</v>
      </c>
      <c r="X233" s="30">
        <v>60</v>
      </c>
      <c r="AA233" s="30">
        <v>82</v>
      </c>
      <c r="AC233" s="30">
        <v>81</v>
      </c>
      <c r="AE233" s="30">
        <v>58</v>
      </c>
      <c r="AG233" s="30">
        <v>22</v>
      </c>
      <c r="AI233" s="30">
        <v>15</v>
      </c>
      <c r="AK233" s="30">
        <v>90</v>
      </c>
      <c r="AM233" s="30">
        <v>16</v>
      </c>
      <c r="AO233" s="30">
        <v>53</v>
      </c>
      <c r="AQ233" s="495">
        <v>15</v>
      </c>
      <c r="AS233" s="30">
        <v>90</v>
      </c>
      <c r="AU233">
        <v>11</v>
      </c>
      <c r="BA233" s="30">
        <v>44</v>
      </c>
      <c r="BC233" s="30">
        <v>24</v>
      </c>
      <c r="BE233" s="30">
        <v>64</v>
      </c>
      <c r="CC233" s="30">
        <v>41</v>
      </c>
    </row>
    <row r="234" spans="2:81" x14ac:dyDescent="0.2">
      <c r="B234" s="30">
        <v>25</v>
      </c>
      <c r="D234" s="30">
        <v>55</v>
      </c>
      <c r="F234" s="30">
        <v>67</v>
      </c>
      <c r="G234" s="34"/>
      <c r="H234" s="30">
        <v>50</v>
      </c>
      <c r="J234" s="30">
        <v>7</v>
      </c>
      <c r="L234" s="30">
        <v>27</v>
      </c>
      <c r="N234" s="30">
        <v>46</v>
      </c>
      <c r="P234" s="30">
        <v>72</v>
      </c>
      <c r="R234" s="30">
        <v>92</v>
      </c>
      <c r="T234" s="30">
        <v>52</v>
      </c>
      <c r="V234" s="30">
        <v>65</v>
      </c>
      <c r="X234" s="30">
        <v>26</v>
      </c>
      <c r="AA234" s="30">
        <v>60</v>
      </c>
      <c r="AC234" s="30">
        <v>94</v>
      </c>
      <c r="AE234" s="30">
        <v>9</v>
      </c>
      <c r="AG234" s="30">
        <v>29</v>
      </c>
      <c r="AI234" s="30">
        <v>13</v>
      </c>
      <c r="AK234" s="30">
        <v>43</v>
      </c>
      <c r="AM234" s="30">
        <v>98</v>
      </c>
      <c r="AO234" s="30">
        <v>21</v>
      </c>
      <c r="AQ234" s="495">
        <v>12</v>
      </c>
      <c r="AS234" s="30">
        <v>31</v>
      </c>
      <c r="AU234">
        <v>34</v>
      </c>
      <c r="BA234" s="30">
        <v>37</v>
      </c>
      <c r="BC234" s="30">
        <v>36</v>
      </c>
      <c r="BE234" s="30">
        <v>21</v>
      </c>
      <c r="CC234" s="30">
        <v>21</v>
      </c>
    </row>
    <row r="235" spans="2:81" x14ac:dyDescent="0.2">
      <c r="B235" s="30">
        <v>71</v>
      </c>
      <c r="D235" s="30">
        <v>59</v>
      </c>
      <c r="F235" s="30">
        <v>37</v>
      </c>
      <c r="G235" s="34"/>
      <c r="H235" s="30">
        <v>23</v>
      </c>
      <c r="J235" s="30">
        <v>15</v>
      </c>
      <c r="L235" s="30">
        <v>21</v>
      </c>
      <c r="N235" s="30">
        <v>73</v>
      </c>
      <c r="P235" s="30">
        <v>73</v>
      </c>
      <c r="R235" s="30">
        <v>27</v>
      </c>
      <c r="T235" s="30">
        <v>32</v>
      </c>
      <c r="V235" s="30">
        <v>59</v>
      </c>
      <c r="X235" s="30">
        <v>73</v>
      </c>
      <c r="AA235" s="30">
        <v>26</v>
      </c>
      <c r="AC235" s="30">
        <v>80</v>
      </c>
      <c r="AE235" s="30">
        <v>49</v>
      </c>
      <c r="AG235" s="30">
        <v>15</v>
      </c>
      <c r="AI235" s="30">
        <v>22</v>
      </c>
      <c r="AK235" s="30">
        <v>25</v>
      </c>
      <c r="AM235" s="30">
        <v>77</v>
      </c>
      <c r="AO235" s="30">
        <v>46</v>
      </c>
      <c r="AQ235" s="495">
        <v>22</v>
      </c>
      <c r="AS235" s="30">
        <v>51</v>
      </c>
      <c r="AU235">
        <v>92</v>
      </c>
      <c r="BA235" s="30">
        <v>40</v>
      </c>
      <c r="BC235" s="30">
        <v>95</v>
      </c>
      <c r="BE235" s="30">
        <v>69</v>
      </c>
      <c r="CC235" s="30">
        <v>81</v>
      </c>
    </row>
    <row r="236" spans="2:81" x14ac:dyDescent="0.2">
      <c r="B236" s="30">
        <v>31</v>
      </c>
      <c r="D236" s="30">
        <v>32</v>
      </c>
      <c r="F236" s="30">
        <v>24</v>
      </c>
      <c r="G236" s="34"/>
      <c r="H236" s="30">
        <v>28</v>
      </c>
      <c r="J236" s="30">
        <v>23</v>
      </c>
      <c r="L236" s="30">
        <v>15</v>
      </c>
      <c r="N236" s="30">
        <v>24</v>
      </c>
      <c r="P236" s="30">
        <v>73</v>
      </c>
      <c r="R236" s="30">
        <v>49</v>
      </c>
      <c r="T236" s="30">
        <v>71</v>
      </c>
      <c r="V236" s="30">
        <v>57</v>
      </c>
      <c r="X236" s="30">
        <v>91</v>
      </c>
      <c r="AA236" s="30">
        <v>73</v>
      </c>
      <c r="AC236" s="30">
        <v>22</v>
      </c>
      <c r="AE236" s="30">
        <v>16</v>
      </c>
      <c r="AG236" s="30">
        <v>26</v>
      </c>
      <c r="AI236" s="30">
        <v>100</v>
      </c>
      <c r="AK236" s="30">
        <v>58</v>
      </c>
      <c r="AM236" s="30">
        <v>76</v>
      </c>
      <c r="AO236" s="30">
        <v>44</v>
      </c>
      <c r="AQ236" s="495">
        <v>95</v>
      </c>
      <c r="AS236" s="30">
        <v>76</v>
      </c>
      <c r="AU236">
        <v>60</v>
      </c>
      <c r="BA236" s="30">
        <v>55</v>
      </c>
      <c r="BC236" s="30">
        <v>17</v>
      </c>
      <c r="BE236" s="30">
        <v>39</v>
      </c>
      <c r="CC236" s="30">
        <v>23</v>
      </c>
    </row>
    <row r="237" spans="2:81" x14ac:dyDescent="0.2">
      <c r="B237" s="30">
        <v>38</v>
      </c>
      <c r="D237" s="30">
        <v>74</v>
      </c>
      <c r="F237" s="30">
        <v>42</v>
      </c>
      <c r="G237" s="34"/>
      <c r="H237" s="30">
        <v>57</v>
      </c>
      <c r="J237" s="30">
        <v>6</v>
      </c>
      <c r="L237" s="30">
        <v>39</v>
      </c>
      <c r="N237" s="30">
        <v>58</v>
      </c>
      <c r="P237" s="30">
        <v>74</v>
      </c>
      <c r="R237" s="30">
        <v>78</v>
      </c>
      <c r="T237" s="30">
        <v>16</v>
      </c>
      <c r="V237" s="30">
        <v>74</v>
      </c>
      <c r="X237" s="30">
        <v>43</v>
      </c>
      <c r="AA237" s="30">
        <v>91</v>
      </c>
      <c r="AC237" s="30">
        <v>23</v>
      </c>
      <c r="AE237" s="30">
        <v>52</v>
      </c>
      <c r="AG237" s="30">
        <v>74</v>
      </c>
      <c r="AI237" s="30">
        <v>73</v>
      </c>
      <c r="AK237" s="30">
        <v>55</v>
      </c>
      <c r="AM237" s="30">
        <v>17</v>
      </c>
      <c r="AO237" s="30">
        <v>17</v>
      </c>
      <c r="AQ237" s="495">
        <v>54</v>
      </c>
      <c r="AS237" s="30">
        <v>76</v>
      </c>
      <c r="AU237">
        <v>86</v>
      </c>
      <c r="BA237" s="30">
        <v>63</v>
      </c>
      <c r="BC237" s="30">
        <v>66</v>
      </c>
      <c r="BE237" s="30">
        <v>80</v>
      </c>
      <c r="CC237" s="30">
        <v>46</v>
      </c>
    </row>
    <row r="238" spans="2:81" x14ac:dyDescent="0.2">
      <c r="B238" s="30">
        <v>26</v>
      </c>
      <c r="D238" s="30">
        <v>38</v>
      </c>
      <c r="F238" s="30">
        <v>11</v>
      </c>
      <c r="G238" s="34"/>
      <c r="H238" s="30">
        <v>12</v>
      </c>
      <c r="J238" s="30">
        <v>28</v>
      </c>
      <c r="L238" s="30">
        <v>94</v>
      </c>
      <c r="N238" s="30">
        <v>30</v>
      </c>
      <c r="P238" s="30">
        <v>74</v>
      </c>
      <c r="R238" s="30">
        <v>39</v>
      </c>
      <c r="T238" s="30">
        <v>90</v>
      </c>
      <c r="V238" s="30">
        <v>16</v>
      </c>
      <c r="X238" s="30">
        <v>87</v>
      </c>
      <c r="AA238" s="30">
        <v>43</v>
      </c>
      <c r="AC238" s="30">
        <v>52</v>
      </c>
      <c r="AE238" s="30">
        <v>64</v>
      </c>
      <c r="AG238" s="30">
        <v>99</v>
      </c>
      <c r="AI238" s="30">
        <v>49</v>
      </c>
      <c r="AK238" s="30">
        <v>54</v>
      </c>
      <c r="AM238" s="30">
        <v>60</v>
      </c>
      <c r="AO238" s="30">
        <v>45</v>
      </c>
      <c r="AQ238" s="495">
        <v>69</v>
      </c>
      <c r="AS238" s="30">
        <v>21</v>
      </c>
      <c r="AU238">
        <v>35</v>
      </c>
      <c r="BA238" s="30">
        <v>49</v>
      </c>
      <c r="BC238" s="30">
        <v>23</v>
      </c>
      <c r="BE238" s="30">
        <v>9</v>
      </c>
      <c r="CC238" s="30">
        <v>60</v>
      </c>
    </row>
    <row r="239" spans="2:81" x14ac:dyDescent="0.2">
      <c r="B239" s="30">
        <v>83</v>
      </c>
      <c r="D239" s="30">
        <v>54</v>
      </c>
      <c r="F239" s="30">
        <v>5</v>
      </c>
      <c r="G239" s="34"/>
      <c r="H239" s="30">
        <v>19</v>
      </c>
      <c r="J239" s="30">
        <v>78</v>
      </c>
      <c r="L239" s="30">
        <v>70</v>
      </c>
      <c r="N239" s="30">
        <v>64</v>
      </c>
      <c r="P239" s="30">
        <v>74</v>
      </c>
      <c r="R239" s="30">
        <v>30</v>
      </c>
      <c r="T239" s="30">
        <v>46</v>
      </c>
      <c r="V239" s="30">
        <v>100</v>
      </c>
      <c r="X239" s="30">
        <v>22</v>
      </c>
      <c r="AA239" s="30">
        <v>87</v>
      </c>
      <c r="AC239" s="30">
        <v>37</v>
      </c>
      <c r="AE239" s="30">
        <v>59</v>
      </c>
      <c r="AG239" s="30">
        <v>15</v>
      </c>
      <c r="AI239" s="30">
        <v>15</v>
      </c>
      <c r="AK239" s="30">
        <v>5</v>
      </c>
      <c r="AM239" s="30">
        <v>59</v>
      </c>
      <c r="AO239" s="30">
        <v>35</v>
      </c>
      <c r="AQ239" s="495">
        <v>14</v>
      </c>
      <c r="AS239" s="30">
        <v>6</v>
      </c>
      <c r="AU239">
        <v>86</v>
      </c>
      <c r="BA239" s="30">
        <v>55</v>
      </c>
      <c r="BC239" s="30">
        <v>19</v>
      </c>
      <c r="BE239" s="30">
        <v>15</v>
      </c>
      <c r="CC239" s="30">
        <v>17</v>
      </c>
    </row>
    <row r="240" spans="2:81" x14ac:dyDescent="0.2">
      <c r="B240" s="30">
        <v>16</v>
      </c>
      <c r="D240" s="30">
        <v>90</v>
      </c>
      <c r="F240" s="30">
        <v>63</v>
      </c>
      <c r="G240" s="34"/>
      <c r="H240" s="30">
        <v>47</v>
      </c>
      <c r="J240" s="30">
        <v>15</v>
      </c>
      <c r="L240" s="30">
        <v>20</v>
      </c>
      <c r="N240" s="30">
        <v>87</v>
      </c>
      <c r="P240" s="30">
        <v>74</v>
      </c>
      <c r="R240" s="30">
        <v>92</v>
      </c>
      <c r="T240" s="30">
        <v>47</v>
      </c>
      <c r="V240" s="30">
        <v>18</v>
      </c>
      <c r="X240" s="30">
        <v>16</v>
      </c>
      <c r="AA240" s="30">
        <v>22</v>
      </c>
      <c r="AC240" s="30">
        <v>81</v>
      </c>
      <c r="AE240" s="30">
        <v>96</v>
      </c>
      <c r="AG240" s="30">
        <v>12</v>
      </c>
      <c r="AI240" s="30">
        <v>65</v>
      </c>
      <c r="AK240" s="30">
        <v>55</v>
      </c>
      <c r="AM240" s="30">
        <v>38</v>
      </c>
      <c r="AO240" s="30">
        <v>48</v>
      </c>
      <c r="AQ240" s="495">
        <v>53</v>
      </c>
      <c r="AS240" s="30">
        <v>94</v>
      </c>
      <c r="AU240">
        <v>31</v>
      </c>
      <c r="BA240" s="30">
        <v>50</v>
      </c>
      <c r="BC240" s="30">
        <v>35</v>
      </c>
      <c r="BE240" s="30">
        <v>31</v>
      </c>
      <c r="CC240" s="30">
        <v>44</v>
      </c>
    </row>
    <row r="241" spans="2:81" x14ac:dyDescent="0.2">
      <c r="B241" s="30">
        <v>35</v>
      </c>
      <c r="D241" s="30">
        <v>70</v>
      </c>
      <c r="F241" s="30">
        <v>43</v>
      </c>
      <c r="G241" s="34"/>
      <c r="H241" s="30">
        <v>44</v>
      </c>
      <c r="J241" s="30">
        <v>74</v>
      </c>
      <c r="L241" s="30">
        <v>46</v>
      </c>
      <c r="N241" s="30">
        <v>46</v>
      </c>
      <c r="P241" s="30">
        <v>74</v>
      </c>
      <c r="R241" s="30">
        <v>73</v>
      </c>
      <c r="T241" s="30">
        <v>55</v>
      </c>
      <c r="V241" s="30">
        <v>8</v>
      </c>
      <c r="X241" s="30">
        <v>24</v>
      </c>
      <c r="AA241" s="30">
        <v>16</v>
      </c>
      <c r="AC241" s="30">
        <v>70</v>
      </c>
      <c r="AE241" s="30">
        <v>16</v>
      </c>
      <c r="AG241" s="30">
        <v>22</v>
      </c>
      <c r="AI241" s="30">
        <v>28</v>
      </c>
      <c r="AK241" s="30">
        <v>76</v>
      </c>
      <c r="AM241" s="30">
        <v>91</v>
      </c>
      <c r="AO241" s="30">
        <v>89</v>
      </c>
      <c r="AQ241" s="495">
        <v>62</v>
      </c>
      <c r="AS241" s="30">
        <v>41</v>
      </c>
      <c r="AU241">
        <v>81</v>
      </c>
      <c r="BA241" s="30">
        <v>42</v>
      </c>
      <c r="BC241" s="30">
        <v>16</v>
      </c>
      <c r="BE241" s="30">
        <v>93</v>
      </c>
      <c r="CC241" s="30">
        <v>89</v>
      </c>
    </row>
    <row r="242" spans="2:81" x14ac:dyDescent="0.2">
      <c r="B242" s="30">
        <v>36</v>
      </c>
      <c r="D242" s="30">
        <v>50</v>
      </c>
      <c r="F242" s="30">
        <v>33</v>
      </c>
      <c r="G242" s="34"/>
      <c r="H242" s="30">
        <v>98</v>
      </c>
      <c r="J242" s="30">
        <v>16</v>
      </c>
      <c r="L242" s="30">
        <v>19</v>
      </c>
      <c r="N242" s="30">
        <v>23</v>
      </c>
      <c r="P242" s="30">
        <v>75</v>
      </c>
      <c r="R242" s="30">
        <v>86</v>
      </c>
      <c r="T242" s="30">
        <v>26</v>
      </c>
      <c r="V242" s="30">
        <v>67</v>
      </c>
      <c r="X242" s="30">
        <v>100</v>
      </c>
      <c r="AA242" s="30">
        <v>24</v>
      </c>
      <c r="AC242" s="30">
        <v>25</v>
      </c>
      <c r="AE242" s="30">
        <v>18</v>
      </c>
      <c r="AG242" s="30">
        <v>77</v>
      </c>
      <c r="AI242" s="30">
        <v>93</v>
      </c>
      <c r="AK242" s="30">
        <v>12</v>
      </c>
      <c r="AM242" s="30">
        <v>44</v>
      </c>
      <c r="AO242" s="30">
        <v>11</v>
      </c>
      <c r="AQ242" s="495">
        <v>32</v>
      </c>
      <c r="AS242" s="30">
        <v>18</v>
      </c>
      <c r="AU242">
        <v>7</v>
      </c>
      <c r="BA242" s="30">
        <v>43</v>
      </c>
      <c r="BC242" s="30">
        <v>22</v>
      </c>
      <c r="BE242" s="30">
        <v>3</v>
      </c>
      <c r="CC242" s="30">
        <v>0</v>
      </c>
    </row>
    <row r="243" spans="2:81" x14ac:dyDescent="0.2">
      <c r="B243" s="30">
        <v>20</v>
      </c>
      <c r="D243" s="30">
        <v>88</v>
      </c>
      <c r="F243" s="30">
        <v>55</v>
      </c>
      <c r="G243" s="34"/>
      <c r="H243" s="30">
        <v>27</v>
      </c>
      <c r="J243" s="30">
        <v>15</v>
      </c>
      <c r="L243" s="30">
        <v>11</v>
      </c>
      <c r="N243" s="30">
        <v>78</v>
      </c>
      <c r="P243" s="30">
        <v>75</v>
      </c>
      <c r="R243" s="30">
        <v>51</v>
      </c>
      <c r="T243" s="30">
        <v>80</v>
      </c>
      <c r="V243" s="30">
        <v>28</v>
      </c>
      <c r="X243" s="30">
        <v>34</v>
      </c>
      <c r="AA243" s="30">
        <v>100</v>
      </c>
      <c r="AC243" s="30">
        <v>95</v>
      </c>
      <c r="AE243" s="30">
        <v>51</v>
      </c>
      <c r="AG243" s="30">
        <v>66</v>
      </c>
      <c r="AI243" s="30">
        <v>32</v>
      </c>
      <c r="AK243" s="30">
        <v>34</v>
      </c>
      <c r="AM243" s="30">
        <v>45</v>
      </c>
      <c r="AO243" s="30">
        <v>19</v>
      </c>
      <c r="AQ243" s="495">
        <v>75</v>
      </c>
      <c r="AS243" s="30">
        <v>72</v>
      </c>
      <c r="AU243">
        <v>64</v>
      </c>
      <c r="BA243" s="30">
        <v>83</v>
      </c>
      <c r="BC243" s="30">
        <v>64</v>
      </c>
      <c r="BE243" s="30">
        <v>61</v>
      </c>
      <c r="CC243" s="30">
        <v>33</v>
      </c>
    </row>
    <row r="244" spans="2:81" x14ac:dyDescent="0.2">
      <c r="B244" s="30">
        <v>50</v>
      </c>
      <c r="D244" s="30">
        <v>37</v>
      </c>
      <c r="F244" s="30">
        <v>11</v>
      </c>
      <c r="G244" s="34"/>
      <c r="H244" s="30">
        <v>57</v>
      </c>
      <c r="J244" s="30">
        <v>65</v>
      </c>
      <c r="L244" s="30">
        <v>60</v>
      </c>
      <c r="N244" s="30">
        <v>90</v>
      </c>
      <c r="P244" s="30">
        <v>76</v>
      </c>
      <c r="R244" s="30">
        <v>64</v>
      </c>
      <c r="T244" s="30">
        <v>79</v>
      </c>
      <c r="V244" s="30">
        <v>87</v>
      </c>
      <c r="X244" s="30">
        <v>55</v>
      </c>
      <c r="AA244" s="30">
        <v>34</v>
      </c>
      <c r="AC244" s="30">
        <v>21</v>
      </c>
      <c r="AE244" s="30">
        <v>91</v>
      </c>
      <c r="AG244" s="30">
        <v>45</v>
      </c>
      <c r="AI244" s="30">
        <v>14</v>
      </c>
      <c r="AK244" s="30">
        <v>43</v>
      </c>
      <c r="AM244" s="30">
        <v>61</v>
      </c>
      <c r="AO244" s="30">
        <v>9</v>
      </c>
      <c r="AQ244" s="495">
        <v>26</v>
      </c>
      <c r="AS244" s="30">
        <v>21</v>
      </c>
      <c r="AU244">
        <v>65</v>
      </c>
      <c r="BA244" s="30">
        <v>0</v>
      </c>
      <c r="BC244" s="30">
        <v>16</v>
      </c>
      <c r="BE244" s="30">
        <v>31</v>
      </c>
      <c r="CC244" s="30">
        <v>47</v>
      </c>
    </row>
    <row r="245" spans="2:81" x14ac:dyDescent="0.2">
      <c r="B245" s="30">
        <v>67</v>
      </c>
      <c r="D245" s="30">
        <v>62</v>
      </c>
      <c r="F245" s="30">
        <v>29</v>
      </c>
      <c r="G245" s="34"/>
      <c r="H245" s="30">
        <v>0</v>
      </c>
      <c r="J245" s="30">
        <v>46</v>
      </c>
      <c r="L245" s="30">
        <v>85</v>
      </c>
      <c r="N245" s="30">
        <v>37</v>
      </c>
      <c r="P245" s="30">
        <v>77</v>
      </c>
      <c r="R245" s="30">
        <v>33</v>
      </c>
      <c r="T245" s="30">
        <v>68</v>
      </c>
      <c r="V245" s="30">
        <v>51</v>
      </c>
      <c r="X245" s="30">
        <v>24</v>
      </c>
      <c r="AA245" s="30">
        <v>55</v>
      </c>
      <c r="AC245" s="30">
        <v>35</v>
      </c>
      <c r="AD245" s="30" t="s">
        <v>123</v>
      </c>
      <c r="AE245" s="30">
        <v>9</v>
      </c>
      <c r="AG245" s="30">
        <v>14</v>
      </c>
      <c r="AI245" s="30">
        <v>63</v>
      </c>
      <c r="AK245" s="30">
        <v>56</v>
      </c>
      <c r="AM245" s="30">
        <v>54</v>
      </c>
      <c r="AO245" s="30">
        <v>18</v>
      </c>
      <c r="AQ245" s="495">
        <v>50</v>
      </c>
      <c r="AS245" s="30">
        <v>57</v>
      </c>
      <c r="AU245">
        <v>37</v>
      </c>
      <c r="BA245" s="30">
        <v>27</v>
      </c>
      <c r="BC245" s="30">
        <v>0</v>
      </c>
      <c r="BE245" s="30">
        <v>11</v>
      </c>
    </row>
    <row r="246" spans="2:81" x14ac:dyDescent="0.2">
      <c r="B246" s="30">
        <v>62</v>
      </c>
      <c r="D246" s="30">
        <v>44</v>
      </c>
      <c r="F246" s="30">
        <v>39</v>
      </c>
      <c r="G246" s="34"/>
      <c r="H246" s="30">
        <v>69</v>
      </c>
      <c r="J246" s="30">
        <v>45</v>
      </c>
      <c r="L246" s="30">
        <v>18</v>
      </c>
      <c r="N246" s="30">
        <v>64</v>
      </c>
      <c r="P246" s="30">
        <v>77</v>
      </c>
      <c r="R246" s="30">
        <v>32</v>
      </c>
      <c r="T246" s="30">
        <v>28</v>
      </c>
      <c r="V246" s="30">
        <v>14</v>
      </c>
      <c r="X246" s="30">
        <v>45</v>
      </c>
      <c r="AA246" s="30">
        <v>24</v>
      </c>
      <c r="AC246" s="30">
        <v>22</v>
      </c>
      <c r="AE246" s="30">
        <v>7</v>
      </c>
      <c r="AG246" s="30">
        <v>80</v>
      </c>
      <c r="AI246" s="30">
        <v>56</v>
      </c>
      <c r="AK246" s="30">
        <v>8</v>
      </c>
      <c r="AM246" s="30">
        <v>41</v>
      </c>
      <c r="AO246" s="30">
        <v>23</v>
      </c>
      <c r="AQ246" s="495">
        <v>80</v>
      </c>
      <c r="AS246" s="30">
        <v>33</v>
      </c>
      <c r="AU246">
        <v>55</v>
      </c>
      <c r="BA246" s="30">
        <v>72</v>
      </c>
      <c r="BC246" s="30">
        <v>41</v>
      </c>
      <c r="BE246" s="30">
        <v>23</v>
      </c>
    </row>
    <row r="247" spans="2:81" x14ac:dyDescent="0.2">
      <c r="B247" s="30">
        <v>54</v>
      </c>
      <c r="D247" s="30">
        <v>60</v>
      </c>
      <c r="F247" s="30">
        <v>5</v>
      </c>
      <c r="G247" s="34"/>
      <c r="H247" s="30">
        <v>96</v>
      </c>
      <c r="J247" s="30">
        <v>17</v>
      </c>
      <c r="L247" s="30">
        <v>32</v>
      </c>
      <c r="N247" s="30">
        <v>47</v>
      </c>
      <c r="P247" s="30">
        <v>77</v>
      </c>
      <c r="R247" s="30">
        <v>56</v>
      </c>
      <c r="T247" s="30">
        <v>58</v>
      </c>
      <c r="V247" s="30">
        <v>55</v>
      </c>
      <c r="X247" s="30">
        <v>30</v>
      </c>
      <c r="AA247" s="30">
        <v>45</v>
      </c>
      <c r="AC247" s="30">
        <v>56</v>
      </c>
      <c r="AE247" s="30">
        <v>55</v>
      </c>
      <c r="AG247" s="30">
        <v>67</v>
      </c>
      <c r="AI247" s="30">
        <v>59</v>
      </c>
      <c r="AK247" s="30">
        <v>96</v>
      </c>
      <c r="AM247" s="30">
        <v>57</v>
      </c>
      <c r="AO247" s="30">
        <v>30</v>
      </c>
      <c r="AQ247" s="495">
        <v>45</v>
      </c>
      <c r="AS247" s="30">
        <v>9</v>
      </c>
      <c r="AU247">
        <v>34</v>
      </c>
      <c r="BA247" s="30">
        <v>63</v>
      </c>
      <c r="BC247" s="30">
        <v>52</v>
      </c>
      <c r="BE247" s="30">
        <v>14</v>
      </c>
    </row>
    <row r="248" spans="2:81" x14ac:dyDescent="0.2">
      <c r="B248" s="30">
        <v>27</v>
      </c>
      <c r="D248" s="30">
        <v>92</v>
      </c>
      <c r="F248" s="30">
        <v>28</v>
      </c>
      <c r="G248" s="34"/>
      <c r="H248" s="30">
        <v>79</v>
      </c>
      <c r="J248" s="30">
        <v>62</v>
      </c>
      <c r="L248" s="30">
        <v>22</v>
      </c>
      <c r="N248" s="30">
        <v>32</v>
      </c>
      <c r="P248" s="30">
        <v>77</v>
      </c>
      <c r="R248" s="30">
        <v>45</v>
      </c>
      <c r="T248" s="30">
        <v>36</v>
      </c>
      <c r="V248" s="30">
        <v>73</v>
      </c>
      <c r="X248" s="30">
        <v>60</v>
      </c>
      <c r="AA248" s="30">
        <v>30</v>
      </c>
      <c r="AC248" s="30">
        <v>32</v>
      </c>
      <c r="AE248" s="30">
        <v>10</v>
      </c>
      <c r="AG248" s="30">
        <v>29</v>
      </c>
      <c r="AI248" s="30">
        <v>51</v>
      </c>
      <c r="AK248" s="30">
        <v>61</v>
      </c>
      <c r="AM248" s="30">
        <v>75</v>
      </c>
      <c r="AO248" s="30">
        <v>36</v>
      </c>
      <c r="AQ248" s="495">
        <v>48</v>
      </c>
      <c r="AS248" s="30">
        <v>49</v>
      </c>
      <c r="AU248">
        <v>18</v>
      </c>
      <c r="BA248" s="30">
        <v>39</v>
      </c>
      <c r="BC248" s="30">
        <v>79</v>
      </c>
      <c r="BE248" s="30">
        <v>22</v>
      </c>
    </row>
    <row r="249" spans="2:81" x14ac:dyDescent="0.2">
      <c r="B249" s="30">
        <v>87</v>
      </c>
      <c r="D249" s="30">
        <v>62</v>
      </c>
      <c r="F249" s="30">
        <v>35</v>
      </c>
      <c r="G249" s="34"/>
      <c r="H249" s="30">
        <v>82</v>
      </c>
      <c r="J249" s="30">
        <v>89</v>
      </c>
      <c r="L249" s="30">
        <v>9</v>
      </c>
      <c r="N249" s="30">
        <v>31</v>
      </c>
      <c r="P249" s="30">
        <v>78</v>
      </c>
      <c r="R249" s="30">
        <v>14</v>
      </c>
      <c r="T249" s="30">
        <v>24</v>
      </c>
      <c r="V249" s="30">
        <v>39</v>
      </c>
      <c r="X249" s="30">
        <v>46</v>
      </c>
      <c r="AA249" s="30">
        <v>60</v>
      </c>
      <c r="AC249" s="30">
        <v>7</v>
      </c>
      <c r="AE249" s="30">
        <v>43</v>
      </c>
      <c r="AG249" s="30">
        <v>81</v>
      </c>
      <c r="AI249" s="30">
        <v>57</v>
      </c>
      <c r="AK249" s="30">
        <v>66</v>
      </c>
      <c r="AM249" s="30">
        <v>56</v>
      </c>
      <c r="AO249" s="30">
        <v>6</v>
      </c>
      <c r="AQ249" s="495">
        <v>35</v>
      </c>
      <c r="AS249" s="30">
        <v>71</v>
      </c>
      <c r="AU249">
        <v>21</v>
      </c>
      <c r="BA249" s="30">
        <v>59</v>
      </c>
      <c r="BC249" s="30">
        <v>45</v>
      </c>
      <c r="BE249" s="30">
        <v>48</v>
      </c>
    </row>
    <row r="250" spans="2:81" x14ac:dyDescent="0.2">
      <c r="B250" s="30">
        <v>100</v>
      </c>
      <c r="D250" s="30">
        <v>68</v>
      </c>
      <c r="F250" s="59"/>
      <c r="G250" s="34"/>
      <c r="H250" s="59"/>
      <c r="J250" s="30">
        <v>67</v>
      </c>
      <c r="L250" s="30">
        <v>0</v>
      </c>
      <c r="N250" s="30">
        <v>71</v>
      </c>
      <c r="P250" s="30">
        <v>80</v>
      </c>
      <c r="R250" s="30">
        <v>10</v>
      </c>
      <c r="T250" s="30">
        <v>62</v>
      </c>
      <c r="V250" s="30">
        <v>62</v>
      </c>
      <c r="X250" s="30">
        <v>16</v>
      </c>
      <c r="AA250" s="30">
        <v>46</v>
      </c>
      <c r="AC250" s="30">
        <v>41</v>
      </c>
      <c r="AE250" s="30">
        <v>45</v>
      </c>
      <c r="AG250" s="30">
        <v>28</v>
      </c>
      <c r="AI250" s="30">
        <v>51</v>
      </c>
      <c r="AK250" s="30">
        <v>36</v>
      </c>
      <c r="AM250" s="30">
        <v>97</v>
      </c>
      <c r="AO250" s="30">
        <v>11</v>
      </c>
      <c r="AQ250" s="495">
        <v>61</v>
      </c>
      <c r="AS250" s="30">
        <v>53</v>
      </c>
      <c r="AU250">
        <v>19</v>
      </c>
      <c r="BA250" s="30">
        <v>100</v>
      </c>
      <c r="BC250" s="30">
        <v>7</v>
      </c>
      <c r="BE250" s="30">
        <v>41</v>
      </c>
    </row>
    <row r="251" spans="2:81" x14ac:dyDescent="0.2">
      <c r="B251" s="30">
        <v>58</v>
      </c>
      <c r="D251" s="30">
        <v>42</v>
      </c>
      <c r="F251" s="30">
        <v>59</v>
      </c>
      <c r="G251" s="34"/>
      <c r="H251" s="30">
        <v>53</v>
      </c>
      <c r="J251" s="30">
        <v>3</v>
      </c>
      <c r="L251" s="30">
        <v>73</v>
      </c>
      <c r="N251" s="30">
        <v>25</v>
      </c>
      <c r="P251" s="30">
        <v>80</v>
      </c>
      <c r="R251" s="30">
        <v>29</v>
      </c>
      <c r="T251" s="30">
        <v>41</v>
      </c>
      <c r="V251" s="30">
        <v>85</v>
      </c>
      <c r="X251" s="30">
        <v>87</v>
      </c>
      <c r="AA251" s="30">
        <v>16</v>
      </c>
      <c r="AC251" s="30">
        <v>47</v>
      </c>
      <c r="AE251" s="30">
        <v>7</v>
      </c>
      <c r="AG251" s="30">
        <v>15</v>
      </c>
      <c r="AI251" s="30">
        <v>85</v>
      </c>
      <c r="AK251" s="30">
        <v>90</v>
      </c>
      <c r="AM251" s="30">
        <v>29</v>
      </c>
      <c r="AO251" s="30">
        <v>65</v>
      </c>
      <c r="AQ251" s="495">
        <v>70</v>
      </c>
      <c r="AS251" s="30">
        <v>12</v>
      </c>
      <c r="AU251">
        <v>45</v>
      </c>
      <c r="BA251" s="30">
        <v>65</v>
      </c>
      <c r="BC251" s="30">
        <v>41</v>
      </c>
      <c r="BE251" s="30">
        <v>0</v>
      </c>
    </row>
    <row r="252" spans="2:81" x14ac:dyDescent="0.2">
      <c r="B252" s="30">
        <v>17</v>
      </c>
      <c r="D252" s="30">
        <v>50</v>
      </c>
      <c r="F252" s="30">
        <v>56</v>
      </c>
      <c r="G252" s="34"/>
      <c r="H252" s="30">
        <v>76</v>
      </c>
      <c r="J252" s="30">
        <v>48</v>
      </c>
      <c r="L252" s="30">
        <v>58</v>
      </c>
      <c r="N252" s="30">
        <v>34</v>
      </c>
      <c r="P252" s="30">
        <v>80</v>
      </c>
      <c r="R252" s="30">
        <v>54</v>
      </c>
      <c r="T252" s="30">
        <v>80</v>
      </c>
      <c r="V252" s="30">
        <v>69</v>
      </c>
      <c r="X252" s="30">
        <v>19</v>
      </c>
      <c r="AA252" s="30">
        <v>87</v>
      </c>
      <c r="AC252" s="30">
        <v>38</v>
      </c>
      <c r="AE252" s="30">
        <v>27</v>
      </c>
      <c r="AG252" s="30">
        <v>70</v>
      </c>
      <c r="AI252" s="30">
        <v>2</v>
      </c>
      <c r="AK252" s="30">
        <v>37</v>
      </c>
      <c r="AM252" s="30">
        <v>41</v>
      </c>
      <c r="AO252" s="30">
        <v>12</v>
      </c>
      <c r="AQ252" s="495">
        <v>55</v>
      </c>
      <c r="AS252" s="30">
        <v>54</v>
      </c>
      <c r="AU252">
        <v>94</v>
      </c>
      <c r="BA252" s="30">
        <v>84</v>
      </c>
      <c r="BC252" s="30">
        <v>29</v>
      </c>
      <c r="BE252" s="30">
        <v>66</v>
      </c>
    </row>
    <row r="253" spans="2:81" x14ac:dyDescent="0.2">
      <c r="B253" s="60">
        <v>14</v>
      </c>
      <c r="D253" s="30">
        <v>45</v>
      </c>
      <c r="F253" s="30">
        <v>18</v>
      </c>
      <c r="G253" s="34"/>
      <c r="H253" s="30">
        <v>14</v>
      </c>
      <c r="J253" s="30">
        <v>55</v>
      </c>
      <c r="L253" s="30">
        <v>34</v>
      </c>
      <c r="N253" s="30">
        <v>14</v>
      </c>
      <c r="P253" s="30">
        <v>80</v>
      </c>
      <c r="R253" s="30">
        <v>72</v>
      </c>
      <c r="T253" s="30">
        <v>14</v>
      </c>
      <c r="V253" s="30">
        <v>3</v>
      </c>
      <c r="X253" s="30">
        <v>88</v>
      </c>
      <c r="AA253" s="30">
        <v>19</v>
      </c>
      <c r="AC253" s="30">
        <v>87</v>
      </c>
      <c r="AE253" s="30">
        <v>67</v>
      </c>
      <c r="AG253" s="30">
        <v>44</v>
      </c>
      <c r="AI253" s="30">
        <v>34</v>
      </c>
      <c r="AK253" s="30">
        <v>42</v>
      </c>
      <c r="AM253" s="30">
        <v>8</v>
      </c>
      <c r="AO253" s="30">
        <v>68</v>
      </c>
      <c r="AQ253" s="495">
        <v>68</v>
      </c>
      <c r="AS253" s="30">
        <v>25</v>
      </c>
      <c r="AU253">
        <v>39</v>
      </c>
      <c r="BA253" s="30">
        <v>53</v>
      </c>
      <c r="BC253" s="30">
        <v>35</v>
      </c>
      <c r="BE253" s="30">
        <v>67</v>
      </c>
    </row>
    <row r="254" spans="2:81" x14ac:dyDescent="0.2">
      <c r="B254" s="30">
        <v>82</v>
      </c>
      <c r="C254" s="30" t="s">
        <v>124</v>
      </c>
      <c r="D254" s="30">
        <v>22</v>
      </c>
      <c r="F254" s="30">
        <v>41</v>
      </c>
      <c r="G254" s="34"/>
      <c r="H254" s="30">
        <v>85</v>
      </c>
      <c r="J254" s="30">
        <v>58</v>
      </c>
      <c r="L254" s="30">
        <v>13</v>
      </c>
      <c r="N254" s="30">
        <v>25</v>
      </c>
      <c r="P254" s="30">
        <v>81</v>
      </c>
      <c r="R254" s="30">
        <v>24</v>
      </c>
      <c r="T254" s="30">
        <v>23</v>
      </c>
      <c r="V254" s="30">
        <v>41</v>
      </c>
      <c r="X254" s="30">
        <v>33</v>
      </c>
      <c r="AA254" s="30">
        <v>88</v>
      </c>
      <c r="AC254" s="30">
        <v>68</v>
      </c>
      <c r="AE254" s="30">
        <v>11</v>
      </c>
      <c r="AG254" s="30">
        <v>45</v>
      </c>
      <c r="AI254" s="30">
        <v>45</v>
      </c>
      <c r="AK254" s="30">
        <v>65</v>
      </c>
      <c r="AM254" s="30">
        <v>100</v>
      </c>
      <c r="AO254" s="30">
        <v>44</v>
      </c>
      <c r="AQ254" s="495">
        <v>81</v>
      </c>
      <c r="AS254" s="30">
        <v>17</v>
      </c>
      <c r="AU254">
        <v>78</v>
      </c>
      <c r="BA254" s="30">
        <v>63</v>
      </c>
      <c r="BC254" s="30">
        <v>5</v>
      </c>
      <c r="BE254" s="30">
        <v>16</v>
      </c>
    </row>
    <row r="255" spans="2:81" x14ac:dyDescent="0.2">
      <c r="B255" s="30">
        <v>64</v>
      </c>
      <c r="D255" s="30">
        <v>28</v>
      </c>
      <c r="F255" s="30">
        <v>23</v>
      </c>
      <c r="G255" s="34"/>
      <c r="H255" s="30">
        <v>67</v>
      </c>
      <c r="J255" s="30">
        <v>22</v>
      </c>
      <c r="L255" s="30">
        <v>75</v>
      </c>
      <c r="N255" s="30">
        <v>79</v>
      </c>
      <c r="P255" s="30">
        <v>81</v>
      </c>
      <c r="R255" s="30">
        <v>37</v>
      </c>
      <c r="T255" s="30">
        <v>79</v>
      </c>
      <c r="V255" s="30">
        <v>32</v>
      </c>
      <c r="X255" s="30">
        <v>30</v>
      </c>
      <c r="AA255" s="30">
        <v>33</v>
      </c>
      <c r="AC255" s="30">
        <v>67</v>
      </c>
      <c r="AE255" s="30">
        <v>93</v>
      </c>
      <c r="AG255" s="30">
        <v>38</v>
      </c>
      <c r="AI255" s="30">
        <v>63</v>
      </c>
      <c r="AK255" s="30">
        <v>14</v>
      </c>
      <c r="AM255" s="30">
        <v>76</v>
      </c>
      <c r="AO255" s="30">
        <v>11</v>
      </c>
      <c r="AQ255" s="495">
        <v>47</v>
      </c>
      <c r="AS255" s="30">
        <v>72</v>
      </c>
      <c r="AU255">
        <v>49</v>
      </c>
      <c r="BA255" s="30">
        <v>63</v>
      </c>
      <c r="BC255" s="30">
        <v>25</v>
      </c>
      <c r="BE255" s="30">
        <v>44</v>
      </c>
    </row>
    <row r="256" spans="2:81" x14ac:dyDescent="0.2">
      <c r="B256" s="30">
        <v>34</v>
      </c>
      <c r="D256" s="30">
        <v>22</v>
      </c>
      <c r="F256" s="30">
        <v>23</v>
      </c>
      <c r="G256" s="34"/>
      <c r="H256" s="30">
        <v>38</v>
      </c>
      <c r="J256" s="30">
        <v>42</v>
      </c>
      <c r="L256" s="30">
        <v>65</v>
      </c>
      <c r="N256" s="30">
        <v>63</v>
      </c>
      <c r="P256" s="30">
        <v>81</v>
      </c>
      <c r="R256" s="30">
        <v>7</v>
      </c>
      <c r="T256" s="30">
        <v>20</v>
      </c>
      <c r="V256" s="30">
        <v>45</v>
      </c>
      <c r="X256" s="30">
        <v>95</v>
      </c>
      <c r="AA256" s="30">
        <v>30</v>
      </c>
      <c r="AC256" s="30">
        <v>72</v>
      </c>
      <c r="AE256" s="30">
        <v>25</v>
      </c>
      <c r="AG256" s="30">
        <v>49</v>
      </c>
      <c r="AI256" s="30">
        <v>8</v>
      </c>
      <c r="AK256" s="30">
        <v>81</v>
      </c>
      <c r="AM256" s="30">
        <v>68</v>
      </c>
      <c r="AO256" s="30">
        <v>36</v>
      </c>
      <c r="AQ256" s="495">
        <v>41</v>
      </c>
      <c r="AS256" s="30">
        <v>51</v>
      </c>
      <c r="AU256">
        <v>22</v>
      </c>
      <c r="BA256" s="30">
        <v>11</v>
      </c>
      <c r="BC256" s="30">
        <v>0</v>
      </c>
      <c r="BE256" s="30">
        <v>14</v>
      </c>
    </row>
    <row r="257" spans="2:57" x14ac:dyDescent="0.2">
      <c r="B257" s="30">
        <v>80</v>
      </c>
      <c r="D257" s="30">
        <v>99</v>
      </c>
      <c r="F257" s="30">
        <v>24</v>
      </c>
      <c r="G257" s="34"/>
      <c r="H257" s="30">
        <v>33</v>
      </c>
      <c r="J257" s="30">
        <v>23</v>
      </c>
      <c r="L257" s="30">
        <v>15</v>
      </c>
      <c r="N257" s="30">
        <v>23</v>
      </c>
      <c r="P257" s="30">
        <v>81</v>
      </c>
      <c r="R257" s="30">
        <v>66</v>
      </c>
      <c r="T257" s="30">
        <v>45</v>
      </c>
      <c r="V257" s="30">
        <v>53</v>
      </c>
      <c r="X257" s="30">
        <v>10</v>
      </c>
      <c r="AA257" s="30">
        <v>95</v>
      </c>
      <c r="AC257" s="30">
        <v>46</v>
      </c>
      <c r="AE257" s="30">
        <v>58</v>
      </c>
      <c r="AG257" s="30">
        <v>73</v>
      </c>
      <c r="AI257" s="30">
        <v>74</v>
      </c>
      <c r="AK257" s="30">
        <v>56</v>
      </c>
      <c r="AM257" s="30">
        <v>37</v>
      </c>
      <c r="AO257" s="30">
        <v>15</v>
      </c>
      <c r="AQ257" s="495">
        <v>10</v>
      </c>
      <c r="AS257" s="30">
        <v>23</v>
      </c>
      <c r="AU257">
        <v>100</v>
      </c>
      <c r="BA257" s="30">
        <v>21</v>
      </c>
      <c r="BC257" s="30">
        <v>20</v>
      </c>
      <c r="BE257" s="30">
        <v>0</v>
      </c>
    </row>
    <row r="258" spans="2:57" x14ac:dyDescent="0.2">
      <c r="B258" s="30">
        <v>95</v>
      </c>
      <c r="D258" s="30">
        <v>83</v>
      </c>
      <c r="F258" s="30">
        <v>35</v>
      </c>
      <c r="G258" s="34"/>
      <c r="H258" s="30">
        <v>81</v>
      </c>
      <c r="J258" s="30">
        <v>29</v>
      </c>
      <c r="L258" s="30">
        <v>15</v>
      </c>
      <c r="N258" s="30">
        <v>22</v>
      </c>
      <c r="P258" s="30">
        <v>81</v>
      </c>
      <c r="R258" s="30">
        <v>13</v>
      </c>
      <c r="T258" s="30">
        <v>84</v>
      </c>
      <c r="V258" s="30">
        <v>77</v>
      </c>
      <c r="X258" s="30">
        <v>46</v>
      </c>
      <c r="AA258" s="30">
        <v>10</v>
      </c>
      <c r="AC258" s="30">
        <v>31</v>
      </c>
      <c r="AE258" s="30">
        <v>50</v>
      </c>
      <c r="AG258" s="30">
        <v>51</v>
      </c>
      <c r="AI258" s="30">
        <v>83</v>
      </c>
      <c r="AK258" s="30">
        <v>72</v>
      </c>
      <c r="AM258" s="30">
        <v>37</v>
      </c>
      <c r="AO258" s="30">
        <v>55</v>
      </c>
      <c r="AQ258" s="495">
        <v>10</v>
      </c>
      <c r="AS258" s="30">
        <v>16</v>
      </c>
      <c r="AU258">
        <v>40</v>
      </c>
      <c r="BA258" s="30">
        <v>45</v>
      </c>
      <c r="BC258" s="30">
        <v>11</v>
      </c>
      <c r="BE258" s="30">
        <v>52</v>
      </c>
    </row>
    <row r="259" spans="2:57" x14ac:dyDescent="0.2">
      <c r="B259" s="30">
        <v>59</v>
      </c>
      <c r="D259" s="30">
        <v>32</v>
      </c>
      <c r="F259" s="30">
        <v>34</v>
      </c>
      <c r="G259" s="34"/>
      <c r="H259" s="30">
        <v>27</v>
      </c>
      <c r="J259" s="30">
        <v>74</v>
      </c>
      <c r="L259" s="30">
        <v>38</v>
      </c>
      <c r="N259" s="30">
        <v>21</v>
      </c>
      <c r="P259" s="30">
        <v>82</v>
      </c>
      <c r="R259" s="30">
        <v>58</v>
      </c>
      <c r="T259" s="30">
        <v>99</v>
      </c>
      <c r="V259" s="30">
        <v>44</v>
      </c>
      <c r="X259" s="30">
        <v>33</v>
      </c>
      <c r="AA259" s="30">
        <v>46</v>
      </c>
      <c r="AC259" s="30">
        <v>38</v>
      </c>
      <c r="AE259" s="30">
        <v>91</v>
      </c>
      <c r="AG259" s="30">
        <v>96</v>
      </c>
      <c r="AI259" s="30">
        <v>50</v>
      </c>
      <c r="AK259" s="30">
        <v>17</v>
      </c>
      <c r="AM259" s="30">
        <v>43</v>
      </c>
      <c r="AO259" s="30">
        <v>29</v>
      </c>
      <c r="AQ259" s="495">
        <v>78</v>
      </c>
      <c r="AS259" s="30">
        <v>36</v>
      </c>
      <c r="AU259">
        <v>49</v>
      </c>
      <c r="BA259" s="30">
        <v>32</v>
      </c>
      <c r="BC259" s="30">
        <v>11</v>
      </c>
      <c r="BE259" s="30">
        <v>27</v>
      </c>
    </row>
    <row r="260" spans="2:57" x14ac:dyDescent="0.2">
      <c r="B260" s="30">
        <v>31</v>
      </c>
      <c r="D260" s="30">
        <v>61</v>
      </c>
      <c r="F260" s="30">
        <v>29</v>
      </c>
      <c r="G260" s="34"/>
      <c r="H260" s="30">
        <v>6</v>
      </c>
      <c r="J260" s="30">
        <v>71</v>
      </c>
      <c r="L260" s="30">
        <v>17</v>
      </c>
      <c r="N260" s="30">
        <v>9</v>
      </c>
      <c r="P260" s="30">
        <v>82</v>
      </c>
      <c r="R260" s="30">
        <v>17</v>
      </c>
      <c r="T260" s="30">
        <v>64</v>
      </c>
      <c r="V260" s="30">
        <v>46</v>
      </c>
      <c r="X260" s="30">
        <v>66</v>
      </c>
      <c r="AA260" s="30">
        <v>33</v>
      </c>
      <c r="AC260" s="30">
        <v>57</v>
      </c>
      <c r="AE260" s="30">
        <v>65</v>
      </c>
      <c r="AG260" s="30">
        <v>6</v>
      </c>
      <c r="AI260" s="30">
        <v>83</v>
      </c>
      <c r="AK260" s="30">
        <v>72</v>
      </c>
      <c r="AM260" s="30">
        <v>69</v>
      </c>
      <c r="AO260" s="30">
        <v>8</v>
      </c>
      <c r="AQ260" s="495">
        <v>93</v>
      </c>
      <c r="AS260" s="30">
        <v>41</v>
      </c>
      <c r="AU260">
        <v>12</v>
      </c>
      <c r="BA260" s="30">
        <v>27</v>
      </c>
      <c r="BC260" s="30">
        <v>1</v>
      </c>
      <c r="BE260" s="30">
        <v>69</v>
      </c>
    </row>
    <row r="261" spans="2:57" x14ac:dyDescent="0.2">
      <c r="B261" s="30">
        <v>0</v>
      </c>
      <c r="D261" s="30">
        <v>61</v>
      </c>
      <c r="F261" s="30">
        <v>61</v>
      </c>
      <c r="G261" s="34"/>
      <c r="H261" s="30">
        <v>10</v>
      </c>
      <c r="J261" s="30">
        <v>56</v>
      </c>
      <c r="L261" s="30">
        <v>77</v>
      </c>
      <c r="N261" s="30">
        <v>54</v>
      </c>
      <c r="P261" s="30">
        <v>83</v>
      </c>
      <c r="R261" s="30">
        <v>69</v>
      </c>
      <c r="T261" s="30">
        <v>15</v>
      </c>
      <c r="V261" s="30">
        <v>69</v>
      </c>
      <c r="X261" s="30">
        <v>73</v>
      </c>
      <c r="AA261" s="30">
        <v>66</v>
      </c>
      <c r="AC261" s="30">
        <v>49</v>
      </c>
      <c r="AE261" s="30">
        <v>40</v>
      </c>
      <c r="AG261" s="30">
        <v>53</v>
      </c>
      <c r="AI261" s="30">
        <v>48</v>
      </c>
      <c r="AK261" s="30">
        <v>30</v>
      </c>
      <c r="AM261" s="30">
        <v>15</v>
      </c>
      <c r="AO261" s="30">
        <v>30</v>
      </c>
      <c r="AQ261" s="495">
        <v>52</v>
      </c>
      <c r="AS261" s="30">
        <v>24</v>
      </c>
      <c r="AU261">
        <v>50</v>
      </c>
      <c r="BA261" s="30">
        <v>15</v>
      </c>
      <c r="BC261" s="30">
        <v>39</v>
      </c>
      <c r="BE261" s="30">
        <v>26</v>
      </c>
    </row>
    <row r="262" spans="2:57" x14ac:dyDescent="0.2">
      <c r="B262" s="30">
        <v>97</v>
      </c>
      <c r="D262" s="30">
        <v>70</v>
      </c>
      <c r="F262" s="30">
        <v>88</v>
      </c>
      <c r="G262" s="34"/>
      <c r="H262" s="30">
        <v>18</v>
      </c>
      <c r="J262" s="30">
        <v>81</v>
      </c>
      <c r="L262" s="30">
        <v>69</v>
      </c>
      <c r="N262" s="30">
        <v>81</v>
      </c>
      <c r="P262" s="30">
        <v>84</v>
      </c>
      <c r="R262" s="30">
        <v>76</v>
      </c>
      <c r="T262" s="30">
        <v>85</v>
      </c>
      <c r="V262" s="30">
        <v>97</v>
      </c>
      <c r="X262" s="30">
        <v>58</v>
      </c>
      <c r="AA262" s="30">
        <v>73</v>
      </c>
      <c r="AC262" s="30">
        <v>64</v>
      </c>
      <c r="AE262" s="30">
        <v>32</v>
      </c>
      <c r="AG262" s="30">
        <v>48</v>
      </c>
      <c r="AI262" s="30">
        <v>50</v>
      </c>
      <c r="AK262" s="30">
        <v>0</v>
      </c>
      <c r="AM262" s="30">
        <v>71</v>
      </c>
      <c r="AO262" s="30">
        <v>14</v>
      </c>
      <c r="AQ262" s="495">
        <v>49</v>
      </c>
      <c r="AS262" s="30">
        <v>60</v>
      </c>
      <c r="AU262">
        <v>90</v>
      </c>
      <c r="BA262" s="30">
        <v>45</v>
      </c>
      <c r="BC262" s="30">
        <v>46</v>
      </c>
      <c r="BE262" s="30">
        <v>77</v>
      </c>
    </row>
    <row r="263" spans="2:57" x14ac:dyDescent="0.2">
      <c r="B263" s="30">
        <v>85</v>
      </c>
      <c r="D263" s="30">
        <v>83</v>
      </c>
      <c r="F263" s="30">
        <v>53</v>
      </c>
      <c r="G263" s="34"/>
      <c r="H263" s="30">
        <v>6</v>
      </c>
      <c r="J263" s="30">
        <v>55</v>
      </c>
      <c r="L263" s="30">
        <v>80</v>
      </c>
      <c r="N263" s="30">
        <v>27</v>
      </c>
      <c r="P263" s="30">
        <v>84</v>
      </c>
      <c r="R263" s="30">
        <v>89</v>
      </c>
      <c r="T263" s="30">
        <v>18</v>
      </c>
      <c r="V263" s="30">
        <v>85</v>
      </c>
      <c r="X263" s="30">
        <v>28</v>
      </c>
      <c r="AA263" s="30">
        <v>58</v>
      </c>
      <c r="AC263" s="30">
        <v>58</v>
      </c>
      <c r="AE263" s="30">
        <v>32</v>
      </c>
      <c r="AG263" s="30">
        <v>99</v>
      </c>
      <c r="AI263" s="30">
        <v>58</v>
      </c>
      <c r="AK263" s="30">
        <v>3</v>
      </c>
      <c r="AM263" s="30">
        <v>67</v>
      </c>
      <c r="AO263" s="30">
        <v>52</v>
      </c>
      <c r="AQ263" s="495">
        <v>49</v>
      </c>
      <c r="AS263" s="30">
        <v>45</v>
      </c>
      <c r="AU263">
        <v>26</v>
      </c>
      <c r="BA263" s="30">
        <v>25</v>
      </c>
      <c r="BC263" s="30">
        <v>27</v>
      </c>
      <c r="BE263" s="30">
        <v>41</v>
      </c>
    </row>
    <row r="264" spans="2:57" x14ac:dyDescent="0.2">
      <c r="B264" s="30">
        <v>26</v>
      </c>
      <c r="D264" s="30">
        <v>59</v>
      </c>
      <c r="F264" s="30">
        <v>30</v>
      </c>
      <c r="G264" s="34"/>
      <c r="H264" s="30">
        <v>36</v>
      </c>
      <c r="J264" s="30">
        <v>32</v>
      </c>
      <c r="L264" s="30">
        <v>77</v>
      </c>
      <c r="N264" s="59"/>
      <c r="P264" s="30">
        <v>84</v>
      </c>
      <c r="R264" s="30">
        <v>52</v>
      </c>
      <c r="T264" s="30">
        <v>7</v>
      </c>
      <c r="V264" s="30">
        <v>61</v>
      </c>
      <c r="W264" s="30" t="s">
        <v>123</v>
      </c>
      <c r="X264" s="30">
        <v>49</v>
      </c>
      <c r="Y264" s="30" t="s">
        <v>123</v>
      </c>
      <c r="AA264" s="30">
        <v>28</v>
      </c>
      <c r="AB264" s="30" t="s">
        <v>123</v>
      </c>
      <c r="AC264" s="30">
        <v>68</v>
      </c>
      <c r="AE264" s="30">
        <v>51</v>
      </c>
      <c r="AG264" s="30">
        <v>26</v>
      </c>
      <c r="AI264" s="30">
        <v>18</v>
      </c>
      <c r="AK264" s="30">
        <v>13</v>
      </c>
      <c r="AM264" s="30">
        <v>67</v>
      </c>
      <c r="AO264" s="30">
        <v>15</v>
      </c>
      <c r="AQ264" s="495">
        <v>74</v>
      </c>
      <c r="AS264" s="30">
        <v>57</v>
      </c>
      <c r="AU264">
        <v>78</v>
      </c>
      <c r="BA264" s="30">
        <v>6</v>
      </c>
      <c r="BC264" s="30">
        <v>13</v>
      </c>
      <c r="BE264" s="30">
        <v>0</v>
      </c>
    </row>
    <row r="265" spans="2:57" x14ac:dyDescent="0.2">
      <c r="B265" s="30">
        <v>92</v>
      </c>
      <c r="D265" s="30">
        <v>37</v>
      </c>
      <c r="F265" s="30">
        <v>83</v>
      </c>
      <c r="G265" s="34"/>
      <c r="H265" s="30">
        <v>98</v>
      </c>
      <c r="J265" s="30">
        <v>18</v>
      </c>
      <c r="L265" s="59"/>
      <c r="N265" s="30">
        <v>23</v>
      </c>
      <c r="P265" s="30">
        <v>85</v>
      </c>
      <c r="R265" s="30">
        <v>84</v>
      </c>
      <c r="T265" s="30">
        <v>69</v>
      </c>
      <c r="V265" s="30">
        <v>79</v>
      </c>
      <c r="X265" s="30">
        <v>24</v>
      </c>
      <c r="AA265" s="30">
        <v>49</v>
      </c>
      <c r="AC265" s="30">
        <v>77</v>
      </c>
      <c r="AE265" s="30">
        <v>83</v>
      </c>
      <c r="AF265" s="30" t="s">
        <v>123</v>
      </c>
      <c r="AG265" s="30">
        <v>8</v>
      </c>
      <c r="AH265" s="30" t="s">
        <v>123</v>
      </c>
      <c r="AI265" s="30">
        <v>22</v>
      </c>
      <c r="AJ265" s="30" t="s">
        <v>123</v>
      </c>
      <c r="AK265" s="30">
        <v>41</v>
      </c>
      <c r="AL265" s="30" t="s">
        <v>123</v>
      </c>
      <c r="AM265" s="30">
        <v>21</v>
      </c>
      <c r="AO265" s="30">
        <v>83</v>
      </c>
      <c r="AQ265" s="495">
        <v>21</v>
      </c>
      <c r="AS265" s="30">
        <v>44</v>
      </c>
      <c r="AU265">
        <v>49</v>
      </c>
      <c r="BA265" s="30">
        <v>50</v>
      </c>
      <c r="BC265" s="30">
        <v>31</v>
      </c>
      <c r="BE265" s="30">
        <v>46</v>
      </c>
    </row>
    <row r="266" spans="2:57" x14ac:dyDescent="0.2">
      <c r="B266" s="30">
        <v>87</v>
      </c>
      <c r="D266" s="30">
        <v>81</v>
      </c>
      <c r="F266" s="30">
        <v>17</v>
      </c>
      <c r="G266" s="34"/>
      <c r="H266" s="30">
        <v>95</v>
      </c>
      <c r="J266" s="30">
        <v>40</v>
      </c>
      <c r="L266" s="30">
        <v>92</v>
      </c>
      <c r="N266" s="30">
        <v>29</v>
      </c>
      <c r="P266" s="30">
        <v>85</v>
      </c>
      <c r="R266" s="30">
        <v>19</v>
      </c>
      <c r="T266" s="30">
        <v>12</v>
      </c>
      <c r="V266" s="30">
        <v>64</v>
      </c>
      <c r="X266" s="30">
        <v>43</v>
      </c>
      <c r="AA266" s="30">
        <v>24</v>
      </c>
      <c r="AC266" s="30">
        <v>57</v>
      </c>
      <c r="AE266" s="30">
        <v>69</v>
      </c>
      <c r="AG266" s="30">
        <v>94</v>
      </c>
      <c r="AI266" s="30">
        <v>56</v>
      </c>
      <c r="AK266" s="30">
        <v>92</v>
      </c>
      <c r="AM266" s="30">
        <v>49</v>
      </c>
      <c r="AO266" s="30">
        <v>10</v>
      </c>
      <c r="AQ266" s="495">
        <v>90</v>
      </c>
      <c r="AS266" s="30">
        <v>20</v>
      </c>
      <c r="AU266">
        <v>68</v>
      </c>
      <c r="BA266" s="30">
        <v>3</v>
      </c>
      <c r="BC266" s="30">
        <v>15</v>
      </c>
      <c r="BE266" s="30">
        <v>19</v>
      </c>
    </row>
    <row r="267" spans="2:57" x14ac:dyDescent="0.2">
      <c r="B267" s="30">
        <v>13</v>
      </c>
      <c r="D267" s="30">
        <v>77</v>
      </c>
      <c r="F267" s="30">
        <v>38</v>
      </c>
      <c r="G267" s="34"/>
      <c r="H267" s="30">
        <v>25</v>
      </c>
      <c r="J267" s="30">
        <v>55</v>
      </c>
      <c r="L267" s="30">
        <v>84</v>
      </c>
      <c r="N267" s="30">
        <v>16</v>
      </c>
      <c r="P267" s="30">
        <v>87</v>
      </c>
      <c r="R267" s="30">
        <v>90</v>
      </c>
      <c r="T267" s="30">
        <v>40</v>
      </c>
      <c r="V267" s="30">
        <v>23</v>
      </c>
      <c r="X267" s="30">
        <v>50</v>
      </c>
      <c r="AA267" s="30">
        <v>43</v>
      </c>
      <c r="AC267" s="30">
        <v>71</v>
      </c>
      <c r="AE267" s="30">
        <v>60</v>
      </c>
      <c r="AG267" s="30">
        <v>56</v>
      </c>
      <c r="AI267" s="30">
        <v>74</v>
      </c>
      <c r="AK267" s="30">
        <v>97</v>
      </c>
      <c r="AM267" s="30">
        <v>23</v>
      </c>
      <c r="AO267" s="30">
        <v>17</v>
      </c>
      <c r="AQ267" s="495">
        <v>89</v>
      </c>
      <c r="AS267" s="30">
        <v>75</v>
      </c>
      <c r="AU267">
        <v>3</v>
      </c>
      <c r="BA267" s="30">
        <v>47</v>
      </c>
      <c r="BC267" s="30">
        <v>52</v>
      </c>
      <c r="BE267" s="30">
        <v>38</v>
      </c>
    </row>
    <row r="268" spans="2:57" x14ac:dyDescent="0.2">
      <c r="B268" s="30">
        <v>76</v>
      </c>
      <c r="D268" s="30">
        <v>66</v>
      </c>
      <c r="F268" s="30">
        <v>29</v>
      </c>
      <c r="G268" s="34"/>
      <c r="H268" s="30">
        <v>90</v>
      </c>
      <c r="J268" s="30">
        <v>48</v>
      </c>
      <c r="L268" s="30">
        <v>55</v>
      </c>
      <c r="N268" s="30">
        <v>76</v>
      </c>
      <c r="P268" s="30">
        <v>87</v>
      </c>
      <c r="R268" s="30">
        <v>82</v>
      </c>
      <c r="T268" s="30">
        <v>17</v>
      </c>
      <c r="V268" s="30">
        <v>20</v>
      </c>
      <c r="X268" s="30">
        <v>71</v>
      </c>
      <c r="AA268" s="30">
        <v>50</v>
      </c>
      <c r="AC268" s="30">
        <v>31</v>
      </c>
      <c r="AE268" s="30">
        <v>53</v>
      </c>
      <c r="AG268" s="30">
        <v>36</v>
      </c>
      <c r="AI268" s="30">
        <v>22</v>
      </c>
      <c r="AK268" s="30">
        <v>75</v>
      </c>
      <c r="AM268" s="30">
        <v>8</v>
      </c>
      <c r="AO268" s="30">
        <v>27</v>
      </c>
      <c r="AQ268" s="495">
        <v>94</v>
      </c>
      <c r="AS268" s="30">
        <v>54</v>
      </c>
      <c r="AU268">
        <v>50</v>
      </c>
      <c r="BA268" s="30">
        <v>18</v>
      </c>
      <c r="BC268" s="30">
        <v>20</v>
      </c>
      <c r="BE268" s="30">
        <v>29</v>
      </c>
    </row>
    <row r="269" spans="2:57" x14ac:dyDescent="0.2">
      <c r="B269" s="30">
        <v>3</v>
      </c>
      <c r="D269" s="30">
        <v>88</v>
      </c>
      <c r="F269" s="30">
        <v>17</v>
      </c>
      <c r="G269" s="34"/>
      <c r="H269" s="30">
        <v>88</v>
      </c>
      <c r="J269" s="30">
        <v>22</v>
      </c>
      <c r="L269" s="30">
        <v>32</v>
      </c>
      <c r="N269" s="30">
        <v>47</v>
      </c>
      <c r="P269" s="30">
        <v>89</v>
      </c>
      <c r="R269" s="30">
        <v>55</v>
      </c>
      <c r="T269" s="30">
        <v>65</v>
      </c>
      <c r="V269" s="30">
        <v>50</v>
      </c>
      <c r="X269" s="30">
        <v>49</v>
      </c>
      <c r="AA269" s="30">
        <v>71</v>
      </c>
      <c r="AC269" s="30">
        <v>26</v>
      </c>
      <c r="AE269" s="30">
        <v>21</v>
      </c>
      <c r="AG269" s="30">
        <v>59</v>
      </c>
      <c r="AI269" s="30">
        <v>58</v>
      </c>
      <c r="AK269" s="30">
        <v>28</v>
      </c>
      <c r="AM269" s="30">
        <v>94</v>
      </c>
      <c r="AO269" s="30">
        <v>13</v>
      </c>
      <c r="AQ269" s="495">
        <v>27</v>
      </c>
      <c r="AS269" s="30">
        <v>90</v>
      </c>
      <c r="AU269">
        <v>38</v>
      </c>
      <c r="BA269" s="30">
        <v>31</v>
      </c>
      <c r="BC269" s="30">
        <v>40</v>
      </c>
      <c r="BE269" s="30">
        <v>62</v>
      </c>
    </row>
    <row r="270" spans="2:57" x14ac:dyDescent="0.2">
      <c r="B270" s="30">
        <v>79</v>
      </c>
      <c r="D270" s="30">
        <v>77</v>
      </c>
      <c r="F270" s="30">
        <v>82</v>
      </c>
      <c r="G270" s="34"/>
      <c r="H270" s="30">
        <v>72</v>
      </c>
      <c r="J270" s="30">
        <v>21</v>
      </c>
      <c r="L270" s="30">
        <v>21</v>
      </c>
      <c r="N270" s="30">
        <v>11</v>
      </c>
      <c r="P270" s="30">
        <v>89</v>
      </c>
      <c r="R270" s="30">
        <v>30</v>
      </c>
      <c r="T270" s="30">
        <v>79</v>
      </c>
      <c r="V270" s="30">
        <f>SUM(V5:V269)</f>
        <v>11904</v>
      </c>
      <c r="X270" s="30">
        <v>62</v>
      </c>
      <c r="AA270" s="30">
        <v>49</v>
      </c>
      <c r="AC270" s="30">
        <v>16</v>
      </c>
      <c r="AE270" s="30">
        <v>27</v>
      </c>
      <c r="AG270" s="30">
        <v>95</v>
      </c>
      <c r="AI270" s="30">
        <v>29</v>
      </c>
      <c r="AK270" s="30">
        <v>79</v>
      </c>
      <c r="AM270" s="30">
        <v>3</v>
      </c>
      <c r="AO270" s="30">
        <v>24</v>
      </c>
      <c r="AQ270" s="495">
        <v>52</v>
      </c>
      <c r="AS270" s="30">
        <v>12</v>
      </c>
      <c r="AU270">
        <v>33</v>
      </c>
      <c r="BA270" s="30">
        <v>38</v>
      </c>
      <c r="BC270" s="30">
        <v>45</v>
      </c>
      <c r="BE270" s="30">
        <v>15</v>
      </c>
    </row>
    <row r="271" spans="2:57" x14ac:dyDescent="0.2">
      <c r="B271" s="30">
        <v>14</v>
      </c>
      <c r="D271" s="30">
        <v>43</v>
      </c>
      <c r="F271" s="30">
        <v>53</v>
      </c>
      <c r="G271" s="34"/>
      <c r="H271" s="30">
        <v>14</v>
      </c>
      <c r="J271" s="30">
        <v>17</v>
      </c>
      <c r="L271" s="30">
        <v>85</v>
      </c>
      <c r="N271" s="30">
        <v>92</v>
      </c>
      <c r="P271" s="30">
        <v>89</v>
      </c>
      <c r="R271" s="30">
        <v>34</v>
      </c>
      <c r="T271" s="30">
        <v>74</v>
      </c>
      <c r="X271" s="30">
        <v>85</v>
      </c>
      <c r="AA271" s="30">
        <v>62</v>
      </c>
      <c r="AC271" s="30">
        <v>50</v>
      </c>
      <c r="AE271" s="30">
        <v>71</v>
      </c>
      <c r="AG271" s="30">
        <v>60</v>
      </c>
      <c r="AI271" s="30">
        <v>54</v>
      </c>
      <c r="AK271" s="30">
        <v>7</v>
      </c>
      <c r="AM271" s="30">
        <v>11</v>
      </c>
      <c r="AO271" s="30">
        <v>30</v>
      </c>
      <c r="AQ271" s="495">
        <v>29</v>
      </c>
      <c r="AS271" s="30">
        <v>58</v>
      </c>
      <c r="AU271">
        <v>13</v>
      </c>
      <c r="BA271" s="30">
        <v>42</v>
      </c>
      <c r="BC271" s="30">
        <v>19</v>
      </c>
      <c r="BE271" s="30">
        <v>10</v>
      </c>
    </row>
    <row r="272" spans="2:57" x14ac:dyDescent="0.2">
      <c r="B272" s="30">
        <v>10</v>
      </c>
      <c r="D272" s="30">
        <v>55</v>
      </c>
      <c r="F272" s="30">
        <v>42</v>
      </c>
      <c r="G272" s="34"/>
      <c r="H272" s="30">
        <v>67</v>
      </c>
      <c r="J272" s="30">
        <v>35</v>
      </c>
      <c r="L272" s="30">
        <v>22</v>
      </c>
      <c r="N272" s="30">
        <v>68</v>
      </c>
      <c r="P272" s="30">
        <v>90</v>
      </c>
      <c r="R272" s="30">
        <v>33</v>
      </c>
      <c r="T272" s="30">
        <v>44</v>
      </c>
      <c r="X272" s="30">
        <v>74</v>
      </c>
      <c r="AA272" s="30">
        <v>85</v>
      </c>
      <c r="AC272" s="30">
        <v>24</v>
      </c>
      <c r="AE272" s="30">
        <v>28</v>
      </c>
      <c r="AG272" s="30">
        <v>80</v>
      </c>
      <c r="AI272" s="30">
        <v>63</v>
      </c>
      <c r="AK272" s="30">
        <v>11</v>
      </c>
      <c r="AM272" s="30">
        <v>42</v>
      </c>
      <c r="AO272" s="30">
        <v>52</v>
      </c>
      <c r="AQ272" s="495">
        <v>17</v>
      </c>
      <c r="AS272" s="30">
        <v>29</v>
      </c>
      <c r="AU272">
        <v>67</v>
      </c>
      <c r="BA272" s="30">
        <v>35</v>
      </c>
      <c r="BC272" s="30">
        <v>71</v>
      </c>
      <c r="BE272" s="30">
        <v>25</v>
      </c>
    </row>
    <row r="273" spans="2:57" x14ac:dyDescent="0.2">
      <c r="B273" s="30">
        <v>48</v>
      </c>
      <c r="D273" s="30">
        <v>96</v>
      </c>
      <c r="F273" s="30">
        <v>51</v>
      </c>
      <c r="G273" s="34"/>
      <c r="H273" s="30">
        <v>14</v>
      </c>
      <c r="J273" s="30">
        <v>18</v>
      </c>
      <c r="L273" s="30">
        <v>25</v>
      </c>
      <c r="N273" s="30">
        <v>45</v>
      </c>
      <c r="P273" s="30">
        <v>90</v>
      </c>
      <c r="R273" s="30">
        <f>SUBTOTAL(9,R5:R272)</f>
        <v>12849</v>
      </c>
      <c r="T273" s="30">
        <v>92</v>
      </c>
      <c r="X273" s="30">
        <v>55</v>
      </c>
      <c r="AA273" s="30">
        <v>74</v>
      </c>
      <c r="AC273" s="30">
        <f>SUM(AC6:AC272)</f>
        <v>12040</v>
      </c>
      <c r="AE273" s="30">
        <v>48</v>
      </c>
      <c r="AG273" s="30">
        <v>52</v>
      </c>
      <c r="AI273" s="30">
        <v>30</v>
      </c>
      <c r="AK273" s="30">
        <v>57</v>
      </c>
      <c r="AM273" s="30">
        <v>77</v>
      </c>
      <c r="AO273" s="30">
        <v>29</v>
      </c>
      <c r="AQ273" s="495">
        <v>75</v>
      </c>
      <c r="AS273" s="30">
        <v>32</v>
      </c>
      <c r="AU273">
        <v>42</v>
      </c>
      <c r="BA273" s="30">
        <v>22</v>
      </c>
      <c r="BC273" s="30">
        <v>26</v>
      </c>
      <c r="BE273" s="30">
        <v>20</v>
      </c>
    </row>
    <row r="274" spans="2:57" x14ac:dyDescent="0.2">
      <c r="B274" s="30">
        <v>63</v>
      </c>
      <c r="D274" s="30">
        <v>50</v>
      </c>
      <c r="F274" s="30">
        <v>28</v>
      </c>
      <c r="G274" s="34"/>
      <c r="H274" s="30">
        <v>63</v>
      </c>
      <c r="J274" s="30">
        <v>47</v>
      </c>
      <c r="L274" s="30">
        <v>70</v>
      </c>
      <c r="N274" s="30">
        <v>17</v>
      </c>
      <c r="P274" s="30">
        <v>91</v>
      </c>
      <c r="T274" s="30">
        <v>21</v>
      </c>
      <c r="X274" s="30">
        <v>64</v>
      </c>
      <c r="AA274" s="30">
        <v>55</v>
      </c>
      <c r="AE274" s="30">
        <v>76</v>
      </c>
      <c r="AG274" s="30">
        <v>42</v>
      </c>
      <c r="AI274" s="30">
        <v>4</v>
      </c>
      <c r="AK274" s="30">
        <v>34</v>
      </c>
      <c r="AM274" s="30">
        <v>28</v>
      </c>
      <c r="AO274" s="30">
        <v>14</v>
      </c>
      <c r="AQ274" s="495">
        <v>4</v>
      </c>
      <c r="AS274" s="30">
        <v>64</v>
      </c>
      <c r="AU274">
        <v>62</v>
      </c>
      <c r="BA274" s="30">
        <v>39</v>
      </c>
      <c r="BC274" s="30">
        <v>72</v>
      </c>
      <c r="BE274" s="30">
        <v>37</v>
      </c>
    </row>
    <row r="275" spans="2:57" x14ac:dyDescent="0.2">
      <c r="B275" s="30">
        <v>90</v>
      </c>
      <c r="D275" s="30">
        <v>48</v>
      </c>
      <c r="F275" s="30">
        <v>53</v>
      </c>
      <c r="G275" s="34"/>
      <c r="H275" s="30">
        <v>11</v>
      </c>
      <c r="J275" s="30">
        <v>17</v>
      </c>
      <c r="L275" s="30">
        <v>59</v>
      </c>
      <c r="N275" s="30">
        <v>33</v>
      </c>
      <c r="P275" s="30">
        <v>91</v>
      </c>
      <c r="T275" s="30">
        <v>79</v>
      </c>
      <c r="X275" s="30">
        <v>28</v>
      </c>
      <c r="AA275" s="30">
        <v>64</v>
      </c>
      <c r="AE275" s="30">
        <v>27</v>
      </c>
      <c r="AG275" s="30">
        <v>45</v>
      </c>
      <c r="AI275" s="30">
        <v>66</v>
      </c>
      <c r="AK275" s="30">
        <v>45</v>
      </c>
      <c r="AM275" s="30">
        <v>67</v>
      </c>
      <c r="AO275" s="30">
        <v>93</v>
      </c>
      <c r="AQ275" s="495">
        <v>12</v>
      </c>
      <c r="AS275" s="30">
        <v>55</v>
      </c>
      <c r="AU275">
        <v>26</v>
      </c>
      <c r="BA275" s="30">
        <v>7</v>
      </c>
      <c r="BC275" s="30">
        <v>13</v>
      </c>
      <c r="BE275" s="30">
        <v>48</v>
      </c>
    </row>
    <row r="276" spans="2:57" x14ac:dyDescent="0.2">
      <c r="B276" s="30">
        <v>83</v>
      </c>
      <c r="D276" s="30">
        <v>31</v>
      </c>
      <c r="F276" s="30">
        <v>48</v>
      </c>
      <c r="G276" s="34"/>
      <c r="H276" s="30">
        <v>25</v>
      </c>
      <c r="J276" s="30">
        <v>68</v>
      </c>
      <c r="L276" s="30">
        <v>61</v>
      </c>
      <c r="N276" s="30">
        <v>16</v>
      </c>
      <c r="P276" s="30">
        <v>91</v>
      </c>
      <c r="T276" s="30">
        <v>60</v>
      </c>
      <c r="X276" s="30">
        <v>21</v>
      </c>
      <c r="AA276" s="30">
        <v>28</v>
      </c>
      <c r="AE276" s="30">
        <v>98</v>
      </c>
      <c r="AG276" s="30">
        <v>47</v>
      </c>
      <c r="AI276" s="30">
        <v>9</v>
      </c>
      <c r="AK276" s="30">
        <v>82</v>
      </c>
      <c r="AM276" s="30">
        <v>7</v>
      </c>
      <c r="AO276" s="30">
        <v>34</v>
      </c>
      <c r="AQ276" s="495">
        <v>34</v>
      </c>
      <c r="AS276" s="30">
        <v>34</v>
      </c>
      <c r="AU276">
        <v>91</v>
      </c>
      <c r="BA276" s="30">
        <v>3</v>
      </c>
      <c r="BC276" s="30">
        <v>86</v>
      </c>
      <c r="BE276" s="30">
        <v>53</v>
      </c>
    </row>
    <row r="277" spans="2:57" x14ac:dyDescent="0.2">
      <c r="B277" s="30">
        <v>10</v>
      </c>
      <c r="D277" s="30">
        <v>32</v>
      </c>
      <c r="F277" s="30">
        <v>19</v>
      </c>
      <c r="G277" s="34"/>
      <c r="H277" s="30">
        <v>58</v>
      </c>
      <c r="J277" s="30">
        <v>10</v>
      </c>
      <c r="L277" s="30">
        <v>45</v>
      </c>
      <c r="N277" s="30">
        <v>79</v>
      </c>
      <c r="P277" s="30">
        <v>91</v>
      </c>
      <c r="T277" s="30">
        <v>51</v>
      </c>
      <c r="X277" s="30">
        <v>49</v>
      </c>
      <c r="AA277" s="30">
        <v>21</v>
      </c>
      <c r="AE277" s="30">
        <v>19</v>
      </c>
      <c r="AG277" s="30">
        <v>17</v>
      </c>
      <c r="AI277" s="30">
        <v>34</v>
      </c>
      <c r="AK277" s="30">
        <v>46</v>
      </c>
      <c r="AM277" s="30">
        <v>11</v>
      </c>
      <c r="AO277" s="30">
        <v>37</v>
      </c>
      <c r="AQ277" s="495">
        <v>64</v>
      </c>
      <c r="AS277" s="30">
        <v>74</v>
      </c>
      <c r="AU277">
        <v>99</v>
      </c>
      <c r="BA277" s="30">
        <v>29</v>
      </c>
      <c r="BC277" s="30">
        <v>9</v>
      </c>
      <c r="BE277" s="30">
        <v>6</v>
      </c>
    </row>
    <row r="278" spans="2:57" x14ac:dyDescent="0.2">
      <c r="B278" s="30">
        <v>75</v>
      </c>
      <c r="D278" s="30">
        <v>57</v>
      </c>
      <c r="F278" s="30">
        <v>34</v>
      </c>
      <c r="G278" s="34"/>
      <c r="H278" s="30">
        <v>54</v>
      </c>
      <c r="J278" s="30">
        <v>84</v>
      </c>
      <c r="L278" s="30">
        <v>12</v>
      </c>
      <c r="N278" s="30">
        <v>84</v>
      </c>
      <c r="P278" s="30">
        <v>92</v>
      </c>
      <c r="T278" s="30">
        <v>22</v>
      </c>
      <c r="X278" s="30">
        <v>16</v>
      </c>
      <c r="AA278" s="30">
        <v>49</v>
      </c>
      <c r="AE278" s="30">
        <v>3</v>
      </c>
      <c r="AG278" s="30">
        <v>98</v>
      </c>
      <c r="AI278" s="30">
        <v>83</v>
      </c>
      <c r="AK278" s="30">
        <v>73</v>
      </c>
      <c r="AM278" s="30">
        <v>69</v>
      </c>
      <c r="AO278" s="30">
        <v>33</v>
      </c>
      <c r="AQ278" s="495">
        <v>88</v>
      </c>
      <c r="AS278" s="30">
        <v>30</v>
      </c>
      <c r="AU278">
        <v>24</v>
      </c>
      <c r="BA278" s="30">
        <v>32</v>
      </c>
      <c r="BC278" s="30">
        <v>30</v>
      </c>
      <c r="BE278" s="30">
        <v>32</v>
      </c>
    </row>
    <row r="279" spans="2:57" x14ac:dyDescent="0.2">
      <c r="B279" s="30">
        <v>24</v>
      </c>
      <c r="D279" s="30">
        <v>12</v>
      </c>
      <c r="F279" s="30">
        <v>51</v>
      </c>
      <c r="G279" s="34"/>
      <c r="H279" s="30">
        <v>89</v>
      </c>
      <c r="J279" s="30">
        <v>58</v>
      </c>
      <c r="L279" s="30">
        <v>64</v>
      </c>
      <c r="N279" s="30">
        <v>100</v>
      </c>
      <c r="P279" s="30">
        <v>92</v>
      </c>
      <c r="T279" s="30">
        <v>24</v>
      </c>
      <c r="X279" s="30">
        <f>SUM(X5:X278)</f>
        <v>12119</v>
      </c>
      <c r="AA279" s="30">
        <v>16</v>
      </c>
      <c r="AE279" s="30">
        <v>37</v>
      </c>
      <c r="AG279" s="30">
        <v>20</v>
      </c>
      <c r="AI279" s="30">
        <v>43</v>
      </c>
      <c r="AK279" s="30">
        <v>68</v>
      </c>
      <c r="AM279" s="30">
        <v>33</v>
      </c>
      <c r="AO279" s="30">
        <v>15</v>
      </c>
      <c r="AQ279" s="495">
        <v>63</v>
      </c>
      <c r="AS279" s="30">
        <v>56</v>
      </c>
      <c r="AU279">
        <v>82</v>
      </c>
      <c r="BA279" s="30">
        <v>38</v>
      </c>
      <c r="BC279" s="30">
        <v>16</v>
      </c>
      <c r="BE279" s="30">
        <v>78</v>
      </c>
    </row>
    <row r="280" spans="2:57" x14ac:dyDescent="0.2">
      <c r="B280" s="30">
        <v>16</v>
      </c>
      <c r="D280" s="30">
        <v>70</v>
      </c>
      <c r="F280" s="30">
        <v>9</v>
      </c>
      <c r="G280" s="34"/>
      <c r="H280" s="30">
        <v>37</v>
      </c>
      <c r="J280" s="30">
        <v>51</v>
      </c>
      <c r="L280" s="30">
        <v>67</v>
      </c>
      <c r="N280" s="30">
        <v>80</v>
      </c>
      <c r="P280" s="30">
        <v>92</v>
      </c>
      <c r="T280" s="30">
        <v>28</v>
      </c>
      <c r="AA280" s="30">
        <f>SUM(AA6:AA279)</f>
        <v>12119</v>
      </c>
      <c r="AE280" s="30">
        <v>19</v>
      </c>
      <c r="AG280" s="30">
        <v>65</v>
      </c>
      <c r="AI280" s="30">
        <v>67</v>
      </c>
      <c r="AK280" s="30">
        <v>50</v>
      </c>
      <c r="AM280" s="30">
        <v>44</v>
      </c>
      <c r="AO280" s="30">
        <v>12</v>
      </c>
      <c r="AQ280" s="495">
        <v>27</v>
      </c>
      <c r="AS280" s="30">
        <v>22</v>
      </c>
      <c r="AU280">
        <v>32</v>
      </c>
      <c r="BA280" s="30">
        <v>56</v>
      </c>
      <c r="BC280" s="30">
        <v>34</v>
      </c>
      <c r="BE280" s="30">
        <v>10</v>
      </c>
    </row>
    <row r="281" spans="2:57" x14ac:dyDescent="0.2">
      <c r="B281" s="30">
        <v>46</v>
      </c>
      <c r="D281" s="30">
        <v>21</v>
      </c>
      <c r="F281" s="30">
        <v>13</v>
      </c>
      <c r="G281" s="34"/>
      <c r="H281" s="30">
        <v>17</v>
      </c>
      <c r="J281" s="30">
        <v>14</v>
      </c>
      <c r="L281" s="30">
        <v>27</v>
      </c>
      <c r="N281" s="30">
        <v>46</v>
      </c>
      <c r="P281" s="30">
        <v>93</v>
      </c>
      <c r="T281" s="30">
        <f>SUBTOTAL(9,T5:T280)</f>
        <v>12077</v>
      </c>
      <c r="AE281" s="30">
        <v>69</v>
      </c>
      <c r="AG281" s="30">
        <v>75</v>
      </c>
      <c r="AI281" s="30">
        <v>26</v>
      </c>
      <c r="AK281" s="30">
        <v>36</v>
      </c>
      <c r="AM281" s="30">
        <v>77</v>
      </c>
      <c r="AO281" s="30">
        <v>66</v>
      </c>
      <c r="AQ281" s="495">
        <v>68</v>
      </c>
      <c r="AS281" s="30">
        <v>27</v>
      </c>
      <c r="AU281">
        <v>41</v>
      </c>
      <c r="BA281" s="30">
        <v>80</v>
      </c>
      <c r="BC281" s="30">
        <v>69</v>
      </c>
      <c r="BE281" s="30">
        <v>9</v>
      </c>
    </row>
    <row r="282" spans="2:57" x14ac:dyDescent="0.2">
      <c r="B282" s="30">
        <v>33</v>
      </c>
      <c r="D282" s="30">
        <v>75</v>
      </c>
      <c r="F282" s="30">
        <v>70</v>
      </c>
      <c r="G282" s="34"/>
      <c r="H282" s="30">
        <v>52</v>
      </c>
      <c r="J282" s="30">
        <v>51</v>
      </c>
      <c r="L282" s="30">
        <v>47</v>
      </c>
      <c r="N282" s="30">
        <v>51</v>
      </c>
      <c r="P282" s="30">
        <v>93</v>
      </c>
      <c r="AE282" s="30">
        <v>47</v>
      </c>
      <c r="AG282" s="30">
        <v>61</v>
      </c>
      <c r="AI282" s="30">
        <v>23</v>
      </c>
      <c r="AK282" s="30">
        <v>23</v>
      </c>
      <c r="AM282" s="30">
        <v>63</v>
      </c>
      <c r="AO282" s="30">
        <v>54</v>
      </c>
      <c r="AQ282" s="495">
        <v>7</v>
      </c>
      <c r="AS282" s="30">
        <v>33</v>
      </c>
      <c r="AU282">
        <v>38</v>
      </c>
      <c r="BA282" s="30">
        <v>83</v>
      </c>
      <c r="BC282" s="30">
        <v>20</v>
      </c>
      <c r="BE282" s="30">
        <v>20</v>
      </c>
    </row>
    <row r="283" spans="2:57" x14ac:dyDescent="0.2">
      <c r="B283" s="30">
        <v>71</v>
      </c>
      <c r="D283" s="30">
        <v>32</v>
      </c>
      <c r="F283" s="30">
        <v>39</v>
      </c>
      <c r="G283" s="34"/>
      <c r="H283" s="30">
        <v>76</v>
      </c>
      <c r="J283" s="59"/>
      <c r="L283" s="30">
        <f>SUM(L5:L282)</f>
        <v>12506</v>
      </c>
      <c r="N283" s="30">
        <v>42</v>
      </c>
      <c r="P283" s="30">
        <v>95</v>
      </c>
      <c r="AE283" s="30">
        <v>8</v>
      </c>
      <c r="AG283" s="30">
        <v>16</v>
      </c>
      <c r="AI283" s="30">
        <v>7</v>
      </c>
      <c r="AK283" s="30">
        <v>56</v>
      </c>
      <c r="AM283" s="30">
        <v>49</v>
      </c>
      <c r="AO283" s="30">
        <v>50</v>
      </c>
      <c r="AQ283" s="495">
        <v>8</v>
      </c>
      <c r="AS283" s="30">
        <v>83</v>
      </c>
      <c r="AU283">
        <v>91</v>
      </c>
      <c r="BA283" s="30">
        <v>75</v>
      </c>
      <c r="BC283" s="30">
        <v>15</v>
      </c>
      <c r="BE283" s="30">
        <v>21</v>
      </c>
    </row>
    <row r="284" spans="2:57" x14ac:dyDescent="0.2">
      <c r="B284" s="30">
        <v>63</v>
      </c>
      <c r="D284" s="30">
        <v>19</v>
      </c>
      <c r="F284" s="30">
        <v>44</v>
      </c>
      <c r="G284" s="34"/>
      <c r="H284" s="30">
        <v>60</v>
      </c>
      <c r="J284" s="30">
        <v>26</v>
      </c>
      <c r="N284" s="30">
        <v>21</v>
      </c>
      <c r="P284" s="30">
        <v>96</v>
      </c>
      <c r="AE284" s="30">
        <v>20</v>
      </c>
      <c r="AG284" s="30">
        <v>46</v>
      </c>
      <c r="AI284" s="30">
        <v>12</v>
      </c>
      <c r="AK284" s="30">
        <v>71</v>
      </c>
      <c r="AM284" s="30">
        <v>47</v>
      </c>
      <c r="AO284" s="30">
        <v>12</v>
      </c>
      <c r="AQ284" s="495">
        <v>58</v>
      </c>
      <c r="AS284" s="30">
        <v>31</v>
      </c>
      <c r="AU284">
        <v>63</v>
      </c>
      <c r="BA284" s="30">
        <v>41</v>
      </c>
      <c r="BC284" s="30">
        <v>13</v>
      </c>
      <c r="BE284" s="30">
        <v>42</v>
      </c>
    </row>
    <row r="285" spans="2:57" x14ac:dyDescent="0.2">
      <c r="B285" s="30">
        <v>44</v>
      </c>
      <c r="D285" s="30">
        <v>63</v>
      </c>
      <c r="F285" s="30">
        <v>86</v>
      </c>
      <c r="G285" s="34"/>
      <c r="H285" s="30">
        <v>4</v>
      </c>
      <c r="J285" s="30">
        <v>57</v>
      </c>
      <c r="N285" s="30">
        <v>96</v>
      </c>
      <c r="P285" s="30">
        <v>97</v>
      </c>
      <c r="AE285" s="30">
        <v>49</v>
      </c>
      <c r="AG285" s="30">
        <v>30</v>
      </c>
      <c r="AI285" s="30">
        <v>52</v>
      </c>
      <c r="AK285" s="30">
        <v>73</v>
      </c>
      <c r="AM285" s="30">
        <v>23</v>
      </c>
      <c r="AO285" s="30">
        <v>85</v>
      </c>
      <c r="AQ285" s="495">
        <v>89</v>
      </c>
      <c r="AS285" s="30">
        <v>25</v>
      </c>
      <c r="AU285">
        <v>14</v>
      </c>
      <c r="BA285" s="30">
        <v>23</v>
      </c>
      <c r="BC285" s="30">
        <v>36</v>
      </c>
      <c r="BE285" s="30">
        <v>55</v>
      </c>
    </row>
    <row r="286" spans="2:57" x14ac:dyDescent="0.2">
      <c r="B286" s="30">
        <v>93</v>
      </c>
      <c r="D286" s="30">
        <v>89</v>
      </c>
      <c r="F286" s="30">
        <v>83</v>
      </c>
      <c r="G286" s="34"/>
      <c r="H286" s="30">
        <v>50</v>
      </c>
      <c r="J286" s="30">
        <v>27</v>
      </c>
      <c r="N286" s="30">
        <v>17</v>
      </c>
      <c r="P286" s="30">
        <v>99</v>
      </c>
      <c r="AE286" s="30">
        <v>47</v>
      </c>
      <c r="AG286" s="30">
        <v>40</v>
      </c>
      <c r="AI286" s="30">
        <v>30</v>
      </c>
      <c r="AK286" s="30">
        <v>70</v>
      </c>
      <c r="AM286" s="30">
        <v>63</v>
      </c>
      <c r="AO286" s="30">
        <v>88</v>
      </c>
      <c r="AQ286" s="495">
        <v>37</v>
      </c>
      <c r="AS286" s="30">
        <v>25</v>
      </c>
      <c r="AU286">
        <v>24</v>
      </c>
      <c r="BA286" s="30">
        <v>59</v>
      </c>
      <c r="BC286" s="30">
        <v>11</v>
      </c>
      <c r="BE286" s="30">
        <v>34</v>
      </c>
    </row>
    <row r="287" spans="2:57" x14ac:dyDescent="0.2">
      <c r="B287" s="30">
        <v>34</v>
      </c>
      <c r="D287" s="30">
        <v>51</v>
      </c>
      <c r="F287" s="30">
        <v>77</v>
      </c>
      <c r="G287" s="34"/>
      <c r="H287" s="30">
        <v>79</v>
      </c>
      <c r="J287" s="30">
        <v>33</v>
      </c>
      <c r="N287" s="30">
        <v>14</v>
      </c>
      <c r="P287" s="30">
        <f>SUBTOTAL(9,P5:P286)</f>
        <v>12833</v>
      </c>
      <c r="AE287" s="30">
        <v>34</v>
      </c>
      <c r="AG287" s="30">
        <v>60</v>
      </c>
      <c r="AI287" s="30">
        <v>83</v>
      </c>
      <c r="AK287" s="30">
        <v>10</v>
      </c>
      <c r="AM287" s="30">
        <v>46</v>
      </c>
      <c r="AO287" s="30">
        <v>56</v>
      </c>
      <c r="AQ287" s="495">
        <v>44</v>
      </c>
      <c r="AS287" s="30">
        <v>34</v>
      </c>
      <c r="AU287">
        <v>54</v>
      </c>
      <c r="BA287" s="30">
        <v>47</v>
      </c>
      <c r="BC287" s="30">
        <v>0</v>
      </c>
      <c r="BE287" s="30">
        <v>25</v>
      </c>
    </row>
    <row r="288" spans="2:57" x14ac:dyDescent="0.2">
      <c r="B288" s="30">
        <v>8</v>
      </c>
      <c r="D288" s="30">
        <v>41</v>
      </c>
      <c r="F288" s="30">
        <v>25</v>
      </c>
      <c r="G288" s="34"/>
      <c r="H288" s="30">
        <v>79</v>
      </c>
      <c r="J288" s="30">
        <v>64</v>
      </c>
      <c r="N288" s="30">
        <v>59</v>
      </c>
      <c r="AE288" s="30">
        <v>46</v>
      </c>
      <c r="AG288" s="30">
        <v>29</v>
      </c>
      <c r="AI288" s="30">
        <v>86</v>
      </c>
      <c r="AK288" s="30">
        <v>11</v>
      </c>
      <c r="AM288" s="30">
        <v>84</v>
      </c>
      <c r="AO288" s="30">
        <v>16</v>
      </c>
      <c r="AQ288" s="495">
        <v>87</v>
      </c>
      <c r="AS288" s="30">
        <v>24</v>
      </c>
      <c r="AU288">
        <v>36</v>
      </c>
      <c r="BA288" s="30">
        <v>62</v>
      </c>
      <c r="BC288" s="30">
        <v>13</v>
      </c>
      <c r="BE288" s="30">
        <v>22</v>
      </c>
    </row>
    <row r="289" spans="2:57" x14ac:dyDescent="0.2">
      <c r="B289" s="30">
        <v>13</v>
      </c>
      <c r="D289" s="30">
        <v>62</v>
      </c>
      <c r="F289" s="30">
        <v>82</v>
      </c>
      <c r="G289" s="34"/>
      <c r="H289" s="30">
        <v>27</v>
      </c>
      <c r="J289" s="30">
        <v>50</v>
      </c>
      <c r="N289" s="30">
        <v>41</v>
      </c>
      <c r="AE289" s="30">
        <v>81</v>
      </c>
      <c r="AG289" s="30">
        <v>3</v>
      </c>
      <c r="AI289" s="30">
        <v>65</v>
      </c>
      <c r="AK289" s="30">
        <v>4</v>
      </c>
      <c r="AM289" s="30">
        <v>65</v>
      </c>
      <c r="AO289" s="30">
        <v>70</v>
      </c>
      <c r="AQ289" s="495">
        <v>55</v>
      </c>
      <c r="AS289" s="30">
        <v>4</v>
      </c>
      <c r="AU289">
        <v>28</v>
      </c>
      <c r="BA289" s="30">
        <v>10</v>
      </c>
      <c r="BC289" s="30">
        <v>18</v>
      </c>
      <c r="BE289" s="30">
        <v>66</v>
      </c>
    </row>
    <row r="290" spans="2:57" x14ac:dyDescent="0.2">
      <c r="B290" s="30">
        <v>31</v>
      </c>
      <c r="D290" s="30">
        <v>14</v>
      </c>
      <c r="F290" s="30">
        <v>41</v>
      </c>
      <c r="G290" s="34"/>
      <c r="H290" s="30">
        <v>91</v>
      </c>
      <c r="J290" s="30">
        <v>48</v>
      </c>
      <c r="N290" s="30">
        <v>44</v>
      </c>
      <c r="AE290" s="30">
        <v>61</v>
      </c>
      <c r="AG290" s="30">
        <v>24</v>
      </c>
      <c r="AI290" s="30">
        <v>65</v>
      </c>
      <c r="AK290" s="30">
        <v>80</v>
      </c>
      <c r="AM290" s="30">
        <v>81</v>
      </c>
      <c r="AO290" s="30">
        <v>10</v>
      </c>
      <c r="AQ290" s="495">
        <v>20</v>
      </c>
      <c r="AS290" s="30">
        <v>15</v>
      </c>
      <c r="AU290">
        <v>14</v>
      </c>
      <c r="BA290" s="30">
        <v>8</v>
      </c>
      <c r="BC290" s="30">
        <v>2</v>
      </c>
      <c r="BE290" s="30">
        <v>17</v>
      </c>
    </row>
    <row r="291" spans="2:57" x14ac:dyDescent="0.2">
      <c r="B291" s="30">
        <v>7</v>
      </c>
      <c r="D291" s="30">
        <v>33</v>
      </c>
      <c r="F291" s="30">
        <v>12</v>
      </c>
      <c r="G291" s="34"/>
      <c r="H291" s="30">
        <v>24</v>
      </c>
      <c r="J291" s="30">
        <v>83</v>
      </c>
      <c r="N291" s="30">
        <v>16</v>
      </c>
      <c r="AE291" s="30">
        <v>57</v>
      </c>
      <c r="AG291" s="30">
        <v>23</v>
      </c>
      <c r="AI291" s="30">
        <v>36</v>
      </c>
      <c r="AK291" s="30">
        <v>15</v>
      </c>
      <c r="AM291" s="30">
        <v>9</v>
      </c>
      <c r="AO291" s="30">
        <v>52</v>
      </c>
      <c r="AQ291" s="495">
        <v>55</v>
      </c>
      <c r="AS291" s="30">
        <v>18</v>
      </c>
      <c r="AU291">
        <v>27</v>
      </c>
      <c r="BA291" s="30">
        <v>15</v>
      </c>
      <c r="BC291" s="30">
        <v>20</v>
      </c>
      <c r="BE291" s="30">
        <v>62</v>
      </c>
    </row>
    <row r="292" spans="2:57" x14ac:dyDescent="0.2">
      <c r="B292" s="30">
        <v>23</v>
      </c>
      <c r="D292" s="30">
        <v>11</v>
      </c>
      <c r="F292" s="30">
        <v>3</v>
      </c>
      <c r="G292" s="34"/>
      <c r="H292" s="30">
        <v>40</v>
      </c>
      <c r="J292" s="30">
        <v>21</v>
      </c>
      <c r="N292" s="30">
        <v>57</v>
      </c>
      <c r="AE292" s="30">
        <v>53</v>
      </c>
      <c r="AG292" s="30">
        <v>21</v>
      </c>
      <c r="AI292" s="30">
        <v>26</v>
      </c>
      <c r="AK292" s="30">
        <v>84</v>
      </c>
      <c r="AM292" s="30">
        <v>13</v>
      </c>
      <c r="AO292" s="30">
        <v>70</v>
      </c>
      <c r="AQ292" s="495">
        <v>46</v>
      </c>
      <c r="AS292" s="30">
        <v>65</v>
      </c>
      <c r="AU292">
        <v>37</v>
      </c>
      <c r="BA292" s="30">
        <v>71</v>
      </c>
      <c r="BC292" s="30">
        <v>21</v>
      </c>
      <c r="BE292" s="30">
        <v>93</v>
      </c>
    </row>
    <row r="293" spans="2:57" x14ac:dyDescent="0.2">
      <c r="B293" s="30">
        <v>28</v>
      </c>
      <c r="D293" s="30">
        <v>27</v>
      </c>
      <c r="F293" s="30">
        <v>66</v>
      </c>
      <c r="G293" s="34"/>
      <c r="H293" s="30">
        <v>86</v>
      </c>
      <c r="J293" s="30">
        <v>86</v>
      </c>
      <c r="N293" s="30">
        <v>63</v>
      </c>
      <c r="AE293" s="30">
        <v>29</v>
      </c>
      <c r="AG293" s="30">
        <v>74</v>
      </c>
      <c r="AI293" s="30">
        <v>59</v>
      </c>
      <c r="AK293" s="30">
        <v>61</v>
      </c>
      <c r="AM293" s="30">
        <v>4</v>
      </c>
      <c r="AO293" s="30">
        <v>29</v>
      </c>
      <c r="AQ293" s="495">
        <v>23</v>
      </c>
      <c r="AS293" s="30">
        <v>68</v>
      </c>
      <c r="AU293">
        <v>68</v>
      </c>
      <c r="BA293" s="30">
        <v>10</v>
      </c>
      <c r="BC293" s="30">
        <v>20</v>
      </c>
      <c r="BE293" s="30">
        <v>9</v>
      </c>
    </row>
    <row r="294" spans="2:57" x14ac:dyDescent="0.2">
      <c r="B294" s="30">
        <v>93</v>
      </c>
      <c r="D294" s="30">
        <v>31</v>
      </c>
      <c r="F294" s="30">
        <v>68</v>
      </c>
      <c r="G294" s="34"/>
      <c r="H294" s="30">
        <v>63</v>
      </c>
      <c r="J294" s="30">
        <v>77</v>
      </c>
      <c r="N294" s="30">
        <v>22</v>
      </c>
      <c r="AE294" s="30">
        <v>29</v>
      </c>
      <c r="AG294" s="30">
        <v>40</v>
      </c>
      <c r="AI294" s="30">
        <v>63</v>
      </c>
      <c r="AK294" s="30">
        <v>56</v>
      </c>
      <c r="AM294" s="30">
        <v>86</v>
      </c>
      <c r="AO294" s="30">
        <v>57</v>
      </c>
      <c r="AQ294" s="495">
        <v>54</v>
      </c>
      <c r="AS294" s="30">
        <v>6</v>
      </c>
      <c r="AU294">
        <v>96</v>
      </c>
      <c r="BA294" s="30">
        <v>64</v>
      </c>
      <c r="BC294" s="30">
        <v>52</v>
      </c>
      <c r="BE294" s="30">
        <v>77</v>
      </c>
    </row>
    <row r="295" spans="2:57" x14ac:dyDescent="0.2">
      <c r="B295" s="30">
        <v>96</v>
      </c>
      <c r="D295" s="30">
        <v>55</v>
      </c>
      <c r="F295" s="30">
        <v>29</v>
      </c>
      <c r="G295" s="34"/>
      <c r="H295" s="30">
        <v>37</v>
      </c>
      <c r="J295" s="30">
        <v>97</v>
      </c>
      <c r="N295" s="30">
        <v>31</v>
      </c>
      <c r="AE295" s="30">
        <v>57</v>
      </c>
      <c r="AG295" s="30">
        <v>40</v>
      </c>
      <c r="AI295" s="30">
        <v>79</v>
      </c>
      <c r="AK295" s="30">
        <v>48</v>
      </c>
      <c r="AM295" s="30">
        <v>13</v>
      </c>
      <c r="AO295" s="30">
        <v>9</v>
      </c>
      <c r="AQ295" s="495">
        <v>85</v>
      </c>
      <c r="AS295" s="30">
        <v>50</v>
      </c>
      <c r="AU295">
        <v>64</v>
      </c>
      <c r="BA295" s="30">
        <v>59</v>
      </c>
      <c r="BC295" s="30">
        <v>41</v>
      </c>
      <c r="BE295" s="30">
        <v>14</v>
      </c>
    </row>
    <row r="296" spans="2:57" x14ac:dyDescent="0.2">
      <c r="B296" s="30">
        <v>89</v>
      </c>
      <c r="D296" s="30">
        <v>10</v>
      </c>
      <c r="F296" s="30">
        <v>45</v>
      </c>
      <c r="G296" s="34"/>
      <c r="H296" s="30">
        <v>73</v>
      </c>
      <c r="J296" s="30">
        <v>55</v>
      </c>
      <c r="N296" s="30">
        <f>SUM(N5:N295)</f>
        <v>13266</v>
      </c>
      <c r="AE296" s="30">
        <v>79</v>
      </c>
      <c r="AG296" s="30">
        <v>23</v>
      </c>
      <c r="AI296" s="30">
        <v>76</v>
      </c>
      <c r="AK296" s="30">
        <v>39</v>
      </c>
      <c r="AM296" s="30">
        <v>83</v>
      </c>
      <c r="AO296" s="30">
        <v>61</v>
      </c>
      <c r="AQ296" s="495">
        <v>86</v>
      </c>
      <c r="AS296" s="30">
        <v>40</v>
      </c>
      <c r="AU296">
        <v>60</v>
      </c>
      <c r="BA296" s="30">
        <v>77</v>
      </c>
      <c r="BC296" s="30">
        <v>35</v>
      </c>
      <c r="BE296" s="30">
        <v>34</v>
      </c>
    </row>
    <row r="297" spans="2:57" x14ac:dyDescent="0.2">
      <c r="B297" s="30">
        <v>12</v>
      </c>
      <c r="D297" s="30">
        <v>8</v>
      </c>
      <c r="F297" s="30">
        <v>75</v>
      </c>
      <c r="G297" s="34"/>
      <c r="H297" s="30">
        <v>41</v>
      </c>
      <c r="J297" s="30">
        <v>55</v>
      </c>
      <c r="AE297" s="30">
        <v>84</v>
      </c>
      <c r="AG297" s="30">
        <v>29</v>
      </c>
      <c r="AI297" s="30">
        <v>83</v>
      </c>
      <c r="AK297" s="30">
        <v>32</v>
      </c>
      <c r="AM297" s="30">
        <v>53</v>
      </c>
      <c r="AO297" s="30">
        <v>83</v>
      </c>
      <c r="AQ297" s="495">
        <v>68</v>
      </c>
      <c r="AS297" s="30">
        <v>47</v>
      </c>
      <c r="AU297">
        <v>48</v>
      </c>
      <c r="BA297" s="30">
        <v>41</v>
      </c>
      <c r="BC297" s="30">
        <v>26</v>
      </c>
      <c r="BE297" s="30">
        <v>47</v>
      </c>
    </row>
    <row r="298" spans="2:57" x14ac:dyDescent="0.2">
      <c r="B298" s="30">
        <v>29</v>
      </c>
      <c r="D298" s="30">
        <v>13</v>
      </c>
      <c r="F298" s="30">
        <v>7</v>
      </c>
      <c r="G298" s="34"/>
      <c r="H298" s="30">
        <v>35</v>
      </c>
      <c r="J298" s="30">
        <v>47</v>
      </c>
      <c r="AE298" s="30">
        <v>97</v>
      </c>
      <c r="AG298" s="30">
        <v>7</v>
      </c>
      <c r="AI298" s="30">
        <v>14</v>
      </c>
      <c r="AK298" s="30">
        <v>78</v>
      </c>
      <c r="AM298" s="30">
        <v>72</v>
      </c>
      <c r="AO298" s="30">
        <v>46</v>
      </c>
      <c r="AQ298" s="495">
        <v>63</v>
      </c>
      <c r="AS298" s="30">
        <v>75</v>
      </c>
      <c r="AU298">
        <v>64</v>
      </c>
      <c r="BA298" s="30">
        <v>68</v>
      </c>
      <c r="BC298" s="30">
        <v>14</v>
      </c>
      <c r="BE298" s="30">
        <v>63</v>
      </c>
    </row>
    <row r="299" spans="2:57" x14ac:dyDescent="0.2">
      <c r="B299" s="30">
        <v>43</v>
      </c>
      <c r="D299" s="30">
        <v>69</v>
      </c>
      <c r="F299" s="30">
        <v>63</v>
      </c>
      <c r="G299" s="34"/>
      <c r="H299" s="30">
        <v>19</v>
      </c>
      <c r="J299" s="30">
        <v>31</v>
      </c>
      <c r="AE299" s="30">
        <v>74</v>
      </c>
      <c r="AG299" s="30">
        <v>10</v>
      </c>
      <c r="AI299" s="30">
        <v>70</v>
      </c>
      <c r="AK299" s="30">
        <v>18</v>
      </c>
      <c r="AM299" s="30">
        <v>60</v>
      </c>
      <c r="AO299" s="30">
        <v>26</v>
      </c>
      <c r="AQ299" s="495">
        <v>8</v>
      </c>
      <c r="AS299" s="30">
        <v>25</v>
      </c>
      <c r="AU299">
        <v>72</v>
      </c>
      <c r="BA299" s="30">
        <v>14</v>
      </c>
      <c r="BC299" s="30">
        <v>35</v>
      </c>
      <c r="BE299" s="30">
        <v>77</v>
      </c>
    </row>
    <row r="300" spans="2:57" x14ac:dyDescent="0.2">
      <c r="B300" s="30">
        <v>59</v>
      </c>
      <c r="D300" s="30">
        <v>87</v>
      </c>
      <c r="F300" s="59"/>
      <c r="G300" s="34"/>
      <c r="H300" s="59"/>
      <c r="J300" s="30">
        <v>34</v>
      </c>
      <c r="AE300" s="30">
        <v>61</v>
      </c>
      <c r="AG300" s="30">
        <v>42</v>
      </c>
      <c r="AI300" s="30">
        <v>80</v>
      </c>
      <c r="AK300" s="30">
        <f>SUM(AK6:AK299)</f>
        <v>13133</v>
      </c>
      <c r="AM300" s="30">
        <v>42</v>
      </c>
      <c r="AO300" s="30">
        <v>18</v>
      </c>
      <c r="AQ300" s="495">
        <v>8</v>
      </c>
      <c r="AS300" s="30">
        <v>79</v>
      </c>
      <c r="AU300">
        <v>75</v>
      </c>
      <c r="BA300" s="30">
        <v>34</v>
      </c>
      <c r="BC300" s="30">
        <v>74</v>
      </c>
      <c r="BE300" s="30">
        <v>49</v>
      </c>
    </row>
    <row r="301" spans="2:57" x14ac:dyDescent="0.2">
      <c r="B301" s="30">
        <v>16</v>
      </c>
      <c r="D301" s="30">
        <v>44</v>
      </c>
      <c r="F301" s="30">
        <v>3</v>
      </c>
      <c r="G301" s="34"/>
      <c r="H301" s="30">
        <v>11</v>
      </c>
      <c r="J301" s="30">
        <v>60</v>
      </c>
      <c r="AE301" s="30">
        <v>49</v>
      </c>
      <c r="AG301" s="30">
        <v>39</v>
      </c>
      <c r="AI301" s="30">
        <v>49</v>
      </c>
      <c r="AM301" s="30">
        <v>23</v>
      </c>
      <c r="AO301" s="30">
        <v>23</v>
      </c>
      <c r="AQ301" s="495">
        <v>16</v>
      </c>
      <c r="AS301" s="30">
        <v>84</v>
      </c>
      <c r="AU301">
        <v>0</v>
      </c>
      <c r="BA301" s="30">
        <v>15</v>
      </c>
      <c r="BC301" s="30">
        <v>23</v>
      </c>
      <c r="BE301" s="68">
        <f>SUM(BE6:BE300)</f>
        <v>10674</v>
      </c>
    </row>
    <row r="302" spans="2:57" x14ac:dyDescent="0.2">
      <c r="B302" s="30">
        <v>73</v>
      </c>
      <c r="D302" s="30">
        <v>83</v>
      </c>
      <c r="F302" s="30">
        <v>75</v>
      </c>
      <c r="G302" s="34"/>
      <c r="H302" s="30">
        <v>36</v>
      </c>
      <c r="J302" s="30">
        <v>38</v>
      </c>
      <c r="AE302" s="30">
        <v>50</v>
      </c>
      <c r="AG302" s="30">
        <v>29</v>
      </c>
      <c r="AI302" s="30">
        <v>39</v>
      </c>
      <c r="AM302" s="30">
        <v>95</v>
      </c>
      <c r="AO302" s="30">
        <v>29</v>
      </c>
      <c r="AQ302" s="495">
        <v>87</v>
      </c>
      <c r="AS302" s="30">
        <v>13</v>
      </c>
      <c r="AU302">
        <v>41</v>
      </c>
      <c r="BA302" s="68">
        <f>SUM(BA6:BA301)</f>
        <v>10030</v>
      </c>
      <c r="BC302" s="30">
        <v>28</v>
      </c>
      <c r="BE302" s="30">
        <v>10674</v>
      </c>
    </row>
    <row r="303" spans="2:57" x14ac:dyDescent="0.2">
      <c r="B303" s="30">
        <v>41</v>
      </c>
      <c r="D303" s="30">
        <v>100</v>
      </c>
      <c r="F303" s="30">
        <v>15</v>
      </c>
      <c r="G303" s="34"/>
      <c r="H303" s="30">
        <v>41</v>
      </c>
      <c r="J303" s="30">
        <v>60</v>
      </c>
      <c r="AE303" s="30">
        <v>39</v>
      </c>
      <c r="AG303" s="30">
        <v>76</v>
      </c>
      <c r="AI303" s="30">
        <v>20</v>
      </c>
      <c r="AM303" s="30">
        <v>18</v>
      </c>
      <c r="AO303" s="30">
        <v>18</v>
      </c>
      <c r="AQ303" s="495">
        <v>14</v>
      </c>
      <c r="AS303" s="30">
        <v>7</v>
      </c>
      <c r="AU303">
        <v>62</v>
      </c>
      <c r="BA303" s="30">
        <v>10030</v>
      </c>
      <c r="BC303" s="30">
        <v>16</v>
      </c>
    </row>
    <row r="304" spans="2:57" x14ac:dyDescent="0.2">
      <c r="B304" s="30">
        <v>13</v>
      </c>
      <c r="D304" s="30">
        <v>44</v>
      </c>
      <c r="F304" s="30">
        <v>1</v>
      </c>
      <c r="G304" s="34"/>
      <c r="H304" s="30">
        <v>19</v>
      </c>
      <c r="J304" s="30">
        <v>23</v>
      </c>
      <c r="AE304" s="30">
        <v>15</v>
      </c>
      <c r="AG304" s="30">
        <v>6</v>
      </c>
      <c r="AI304" s="30">
        <v>65</v>
      </c>
      <c r="AM304" s="30">
        <f>SUM(AM6:AM303)</f>
        <v>13145</v>
      </c>
      <c r="AO304" s="30">
        <v>14</v>
      </c>
      <c r="AQ304" s="495">
        <v>59</v>
      </c>
      <c r="AS304" s="30">
        <v>37</v>
      </c>
      <c r="AU304" s="30">
        <f>SUM(AU6:AU303)</f>
        <v>12996</v>
      </c>
      <c r="BC304" s="30">
        <v>18</v>
      </c>
    </row>
    <row r="305" spans="2:55" x14ac:dyDescent="0.2">
      <c r="B305" s="60">
        <v>40</v>
      </c>
      <c r="D305" s="30">
        <v>24</v>
      </c>
      <c r="F305" s="30">
        <v>18</v>
      </c>
      <c r="G305" s="34"/>
      <c r="H305" s="30">
        <v>22</v>
      </c>
      <c r="J305" s="30">
        <v>28</v>
      </c>
      <c r="AE305" s="30">
        <v>49</v>
      </c>
      <c r="AG305" s="30">
        <v>58</v>
      </c>
      <c r="AI305" s="30">
        <v>20</v>
      </c>
      <c r="AO305" s="30">
        <v>55</v>
      </c>
      <c r="AQ305" s="495">
        <v>44</v>
      </c>
      <c r="AS305" s="30">
        <v>59</v>
      </c>
      <c r="AU305" s="30">
        <v>12996</v>
      </c>
      <c r="BC305" s="30">
        <v>61</v>
      </c>
    </row>
    <row r="306" spans="2:55" x14ac:dyDescent="0.2">
      <c r="B306" s="30">
        <v>17</v>
      </c>
      <c r="C306" s="30" t="s">
        <v>125</v>
      </c>
      <c r="D306" s="30">
        <v>52</v>
      </c>
      <c r="F306" s="30">
        <v>69</v>
      </c>
      <c r="G306" s="34"/>
      <c r="H306" s="30">
        <v>20</v>
      </c>
      <c r="J306" s="30">
        <v>15</v>
      </c>
      <c r="AE306" s="30">
        <v>36</v>
      </c>
      <c r="AG306" s="30">
        <v>48</v>
      </c>
      <c r="AI306" s="30">
        <f>SUM(AI6:AI305)</f>
        <v>13507</v>
      </c>
      <c r="AO306" s="30">
        <v>19</v>
      </c>
      <c r="AQ306" s="495">
        <v>63</v>
      </c>
      <c r="AS306" s="30">
        <f>SUM(AS6:AS305)</f>
        <v>12917</v>
      </c>
      <c r="BC306" s="30">
        <v>24</v>
      </c>
    </row>
    <row r="307" spans="2:55" x14ac:dyDescent="0.2">
      <c r="B307" s="30">
        <v>86</v>
      </c>
      <c r="D307" s="30">
        <v>71</v>
      </c>
      <c r="F307" s="30">
        <v>50</v>
      </c>
      <c r="G307" s="34"/>
      <c r="H307" s="30">
        <v>15</v>
      </c>
      <c r="J307" s="30">
        <v>98</v>
      </c>
      <c r="AE307" s="30">
        <f>SUM(AE6:AE306)</f>
        <v>12285</v>
      </c>
      <c r="AG307" s="30">
        <v>44</v>
      </c>
      <c r="AO307" s="30">
        <v>50</v>
      </c>
      <c r="AQ307" s="495">
        <v>55</v>
      </c>
      <c r="AS307" s="30">
        <v>12917</v>
      </c>
      <c r="BC307" s="30">
        <v>5</v>
      </c>
    </row>
    <row r="308" spans="2:55" x14ac:dyDescent="0.2">
      <c r="B308" s="30">
        <v>33</v>
      </c>
      <c r="D308" s="30">
        <v>41</v>
      </c>
      <c r="F308" s="30">
        <v>86</v>
      </c>
      <c r="G308" s="34"/>
      <c r="H308" s="30">
        <v>34</v>
      </c>
      <c r="J308" s="30">
        <v>58</v>
      </c>
      <c r="AG308" s="30">
        <v>30</v>
      </c>
      <c r="AO308" s="30">
        <v>93</v>
      </c>
      <c r="AQ308" s="495">
        <v>35</v>
      </c>
      <c r="BC308" s="30">
        <v>21</v>
      </c>
    </row>
    <row r="309" spans="2:55" x14ac:dyDescent="0.2">
      <c r="B309" s="30">
        <v>20</v>
      </c>
      <c r="D309" s="30">
        <v>26</v>
      </c>
      <c r="F309" s="30">
        <v>11</v>
      </c>
      <c r="G309" s="34"/>
      <c r="H309" s="30">
        <v>16</v>
      </c>
      <c r="J309" s="30">
        <v>72</v>
      </c>
      <c r="AG309" s="30">
        <v>25</v>
      </c>
      <c r="AO309" s="30">
        <v>1</v>
      </c>
      <c r="AQ309" s="495">
        <v>23</v>
      </c>
      <c r="BC309" s="30">
        <v>10</v>
      </c>
    </row>
    <row r="310" spans="2:55" x14ac:dyDescent="0.2">
      <c r="B310" s="30">
        <v>65</v>
      </c>
      <c r="D310" s="30">
        <v>21</v>
      </c>
      <c r="F310" s="30">
        <v>68</v>
      </c>
      <c r="G310" s="34"/>
      <c r="H310" s="30">
        <v>81</v>
      </c>
      <c r="J310" s="30">
        <v>85</v>
      </c>
      <c r="AG310" s="30">
        <v>51</v>
      </c>
      <c r="AO310" s="30">
        <v>97</v>
      </c>
      <c r="AQ310" s="495">
        <v>86</v>
      </c>
      <c r="BC310" s="30">
        <v>28</v>
      </c>
    </row>
    <row r="311" spans="2:55" x14ac:dyDescent="0.2">
      <c r="B311" s="30">
        <v>55</v>
      </c>
      <c r="D311" s="30">
        <v>16</v>
      </c>
      <c r="E311" s="30" t="s">
        <v>120</v>
      </c>
      <c r="F311" s="30">
        <v>10</v>
      </c>
      <c r="G311" s="34"/>
      <c r="H311" s="30">
        <v>65</v>
      </c>
      <c r="J311" s="30">
        <v>24</v>
      </c>
      <c r="AG311" s="30">
        <v>50</v>
      </c>
      <c r="AO311" s="30">
        <v>82</v>
      </c>
      <c r="AQ311" s="495">
        <v>14</v>
      </c>
      <c r="BC311" s="30">
        <v>18</v>
      </c>
    </row>
    <row r="312" spans="2:55" x14ac:dyDescent="0.2">
      <c r="B312" s="30">
        <v>84</v>
      </c>
      <c r="D312" s="30">
        <v>83</v>
      </c>
      <c r="F312" s="30">
        <v>13</v>
      </c>
      <c r="G312" s="34"/>
      <c r="H312" s="30">
        <v>18</v>
      </c>
      <c r="J312" s="30">
        <v>95</v>
      </c>
      <c r="AG312" s="30">
        <v>58</v>
      </c>
      <c r="AO312" s="30">
        <v>68</v>
      </c>
      <c r="AQ312" s="30">
        <f>SUM(AQ4:AQ311)</f>
        <v>13481</v>
      </c>
      <c r="BC312" s="30">
        <v>37</v>
      </c>
    </row>
    <row r="313" spans="2:55" x14ac:dyDescent="0.2">
      <c r="B313" s="30">
        <v>84</v>
      </c>
      <c r="D313" s="30">
        <v>92</v>
      </c>
      <c r="F313" s="30">
        <v>55</v>
      </c>
      <c r="G313" s="34"/>
      <c r="H313" s="30">
        <v>58</v>
      </c>
      <c r="J313" s="30">
        <v>48</v>
      </c>
      <c r="AG313" s="30">
        <v>71</v>
      </c>
      <c r="AO313" s="30">
        <v>85</v>
      </c>
      <c r="AQ313" s="30">
        <v>13481</v>
      </c>
      <c r="BC313" s="30">
        <v>15</v>
      </c>
    </row>
    <row r="314" spans="2:55" x14ac:dyDescent="0.2">
      <c r="B314" s="30">
        <v>5</v>
      </c>
      <c r="D314" s="30">
        <v>61</v>
      </c>
      <c r="F314" s="30">
        <v>39</v>
      </c>
      <c r="G314" s="34"/>
      <c r="H314" s="30">
        <v>15</v>
      </c>
      <c r="J314" s="30">
        <v>23</v>
      </c>
      <c r="AG314" s="30">
        <v>77</v>
      </c>
      <c r="AO314" s="30">
        <f>SUM(AO6:AO313)</f>
        <v>13117</v>
      </c>
      <c r="BC314" s="30">
        <v>44</v>
      </c>
    </row>
    <row r="315" spans="2:55" x14ac:dyDescent="0.2">
      <c r="B315" s="30">
        <v>100</v>
      </c>
      <c r="D315" s="30">
        <v>73</v>
      </c>
      <c r="F315" s="30">
        <v>4</v>
      </c>
      <c r="G315" s="34"/>
      <c r="H315" s="30">
        <v>73</v>
      </c>
      <c r="J315" s="30">
        <v>28</v>
      </c>
      <c r="AG315" s="30">
        <v>57</v>
      </c>
      <c r="AO315" s="30">
        <v>13117</v>
      </c>
      <c r="BC315" s="30">
        <v>12</v>
      </c>
    </row>
    <row r="316" spans="2:55" x14ac:dyDescent="0.2">
      <c r="B316" s="30">
        <v>17</v>
      </c>
      <c r="D316" s="30">
        <v>88</v>
      </c>
      <c r="F316" s="30">
        <v>67</v>
      </c>
      <c r="G316" s="34"/>
      <c r="H316" s="30">
        <v>0</v>
      </c>
      <c r="J316" s="30">
        <v>44</v>
      </c>
      <c r="AG316" s="30">
        <v>41</v>
      </c>
      <c r="BC316" s="68">
        <f>SUM(BC6:BC315)</f>
        <v>11363</v>
      </c>
    </row>
    <row r="317" spans="2:55" x14ac:dyDescent="0.2">
      <c r="B317" s="30">
        <v>68</v>
      </c>
      <c r="D317" s="30">
        <v>57</v>
      </c>
      <c r="F317" s="30">
        <v>37</v>
      </c>
      <c r="G317" s="34"/>
      <c r="H317" s="30">
        <v>32</v>
      </c>
      <c r="J317" s="30">
        <v>24</v>
      </c>
      <c r="AG317" s="30">
        <v>52</v>
      </c>
      <c r="AH317" s="30" t="s">
        <v>126</v>
      </c>
      <c r="BC317" s="30">
        <v>11363</v>
      </c>
    </row>
    <row r="318" spans="2:55" x14ac:dyDescent="0.2">
      <c r="B318" s="30">
        <v>68</v>
      </c>
      <c r="D318" s="30">
        <v>80</v>
      </c>
      <c r="F318" s="30">
        <v>37</v>
      </c>
      <c r="G318" s="34"/>
      <c r="H318" s="30">
        <v>8</v>
      </c>
      <c r="J318" s="30">
        <v>24</v>
      </c>
      <c r="AG318" s="30">
        <v>54</v>
      </c>
    </row>
    <row r="319" spans="2:55" x14ac:dyDescent="0.2">
      <c r="B319" s="30">
        <v>35</v>
      </c>
      <c r="D319" s="30">
        <v>18</v>
      </c>
      <c r="F319" s="30">
        <v>8</v>
      </c>
      <c r="G319" s="34"/>
      <c r="H319" s="30">
        <v>53</v>
      </c>
      <c r="J319" s="30">
        <v>65</v>
      </c>
      <c r="AG319" s="30">
        <v>22</v>
      </c>
    </row>
    <row r="320" spans="2:55" x14ac:dyDescent="0.2">
      <c r="B320" s="30">
        <v>32</v>
      </c>
      <c r="D320" s="30">
        <v>79</v>
      </c>
      <c r="F320" s="30">
        <v>16</v>
      </c>
      <c r="G320" s="34"/>
      <c r="H320" s="30">
        <v>27</v>
      </c>
      <c r="J320" s="30">
        <v>17</v>
      </c>
      <c r="AG320" s="30">
        <v>85</v>
      </c>
    </row>
    <row r="321" spans="2:33" x14ac:dyDescent="0.2">
      <c r="B321" s="30">
        <v>70</v>
      </c>
      <c r="D321" s="30">
        <v>30</v>
      </c>
      <c r="F321" s="30">
        <v>23</v>
      </c>
      <c r="G321" s="34"/>
      <c r="H321" s="30">
        <v>33</v>
      </c>
      <c r="J321" s="30">
        <v>14</v>
      </c>
      <c r="AG321" s="30">
        <v>54</v>
      </c>
    </row>
    <row r="322" spans="2:33" x14ac:dyDescent="0.2">
      <c r="B322" s="30">
        <v>34</v>
      </c>
      <c r="D322" s="30">
        <v>89</v>
      </c>
      <c r="F322" s="30">
        <v>7</v>
      </c>
      <c r="G322" s="34"/>
      <c r="H322" s="30">
        <v>58</v>
      </c>
      <c r="J322" s="30">
        <v>32</v>
      </c>
      <c r="AG322" s="30">
        <f>SUM(AG6:AG321)</f>
        <v>13123</v>
      </c>
    </row>
    <row r="323" spans="2:33" x14ac:dyDescent="0.2">
      <c r="B323" s="30">
        <v>61</v>
      </c>
      <c r="D323" s="30">
        <v>29</v>
      </c>
      <c r="F323" s="30">
        <v>66</v>
      </c>
      <c r="G323" s="34"/>
      <c r="H323" s="30">
        <v>28</v>
      </c>
      <c r="J323" s="30">
        <v>54</v>
      </c>
    </row>
    <row r="324" spans="2:33" x14ac:dyDescent="0.2">
      <c r="B324" s="30">
        <v>82</v>
      </c>
      <c r="D324" s="30">
        <v>72</v>
      </c>
      <c r="F324" s="30">
        <v>99</v>
      </c>
      <c r="G324" s="34"/>
      <c r="H324" s="30">
        <v>29</v>
      </c>
      <c r="J324" s="30">
        <v>72</v>
      </c>
    </row>
    <row r="325" spans="2:33" x14ac:dyDescent="0.2">
      <c r="B325" s="30">
        <v>31</v>
      </c>
      <c r="D325" s="30">
        <v>99</v>
      </c>
      <c r="F325" s="30">
        <v>90</v>
      </c>
      <c r="G325" s="34"/>
      <c r="H325" s="30">
        <v>28</v>
      </c>
      <c r="J325" s="30">
        <v>77</v>
      </c>
    </row>
    <row r="326" spans="2:33" x14ac:dyDescent="0.2">
      <c r="B326" s="30">
        <v>66</v>
      </c>
      <c r="D326" s="30">
        <v>20</v>
      </c>
      <c r="F326" s="30">
        <v>27</v>
      </c>
      <c r="G326" s="34"/>
      <c r="H326" s="30">
        <v>98</v>
      </c>
      <c r="J326" s="30">
        <v>45</v>
      </c>
    </row>
    <row r="327" spans="2:33" x14ac:dyDescent="0.2">
      <c r="B327" s="30">
        <v>58</v>
      </c>
      <c r="D327" s="30">
        <v>37</v>
      </c>
      <c r="F327" s="30">
        <v>92</v>
      </c>
      <c r="G327" s="34"/>
      <c r="H327" s="30">
        <v>61</v>
      </c>
      <c r="J327" s="30">
        <v>89</v>
      </c>
    </row>
    <row r="328" spans="2:33" x14ac:dyDescent="0.2">
      <c r="B328" s="30">
        <v>46</v>
      </c>
      <c r="D328" s="30">
        <v>21</v>
      </c>
      <c r="F328" s="30">
        <v>83</v>
      </c>
      <c r="G328" s="34"/>
      <c r="H328" s="30">
        <v>70</v>
      </c>
      <c r="J328" s="30">
        <v>25</v>
      </c>
    </row>
    <row r="329" spans="2:33" x14ac:dyDescent="0.2">
      <c r="B329" s="30">
        <v>24</v>
      </c>
      <c r="D329" s="30">
        <v>14</v>
      </c>
      <c r="F329" s="30">
        <v>23</v>
      </c>
      <c r="G329" s="34"/>
      <c r="H329" s="30">
        <v>31</v>
      </c>
      <c r="J329" s="30">
        <v>4</v>
      </c>
    </row>
    <row r="330" spans="2:33" x14ac:dyDescent="0.2">
      <c r="B330" s="30">
        <v>20</v>
      </c>
      <c r="D330" s="30">
        <v>68</v>
      </c>
      <c r="F330" s="30">
        <v>77</v>
      </c>
      <c r="G330" s="34"/>
      <c r="H330" s="30">
        <v>75</v>
      </c>
      <c r="J330" s="30">
        <v>87</v>
      </c>
    </row>
    <row r="331" spans="2:33" x14ac:dyDescent="0.2">
      <c r="B331" s="30">
        <v>40</v>
      </c>
      <c r="D331" s="30">
        <v>94</v>
      </c>
      <c r="F331" s="30">
        <v>18</v>
      </c>
      <c r="G331" s="34"/>
      <c r="H331" s="30">
        <v>29</v>
      </c>
      <c r="J331" s="30">
        <v>37</v>
      </c>
    </row>
    <row r="332" spans="2:33" x14ac:dyDescent="0.2">
      <c r="B332" s="30">
        <v>41</v>
      </c>
      <c r="D332" s="30">
        <v>18</v>
      </c>
      <c r="F332" s="30">
        <v>65</v>
      </c>
      <c r="G332" s="34"/>
      <c r="H332" s="30">
        <v>84</v>
      </c>
      <c r="J332" s="30">
        <v>27</v>
      </c>
    </row>
    <row r="333" spans="2:33" x14ac:dyDescent="0.2">
      <c r="B333" s="30">
        <v>57</v>
      </c>
      <c r="D333" s="30">
        <v>53</v>
      </c>
      <c r="F333" s="30">
        <v>28</v>
      </c>
      <c r="G333" s="34"/>
      <c r="H333" s="30">
        <v>53</v>
      </c>
      <c r="J333" s="30">
        <v>18</v>
      </c>
    </row>
    <row r="334" spans="2:33" x14ac:dyDescent="0.2">
      <c r="B334" s="30">
        <v>21</v>
      </c>
      <c r="D334" s="30">
        <v>40</v>
      </c>
      <c r="F334" s="30">
        <v>15</v>
      </c>
      <c r="G334" s="34"/>
      <c r="H334" s="30">
        <v>39</v>
      </c>
      <c r="J334" s="30">
        <v>79</v>
      </c>
    </row>
    <row r="335" spans="2:33" x14ac:dyDescent="0.2">
      <c r="B335" s="30">
        <v>17</v>
      </c>
      <c r="D335" s="30">
        <v>42</v>
      </c>
      <c r="F335" s="30">
        <v>32</v>
      </c>
      <c r="G335" s="34"/>
      <c r="H335" s="30">
        <v>67</v>
      </c>
      <c r="J335" s="30">
        <v>73</v>
      </c>
    </row>
    <row r="336" spans="2:33" x14ac:dyDescent="0.2">
      <c r="B336" s="30">
        <v>40</v>
      </c>
      <c r="D336" s="30">
        <v>61</v>
      </c>
      <c r="F336" s="30">
        <v>66</v>
      </c>
      <c r="G336" s="34"/>
      <c r="H336" s="30">
        <v>47</v>
      </c>
      <c r="J336" s="30">
        <v>58</v>
      </c>
    </row>
    <row r="337" spans="2:10" x14ac:dyDescent="0.2">
      <c r="B337" s="30">
        <v>24</v>
      </c>
      <c r="D337" s="30">
        <v>36</v>
      </c>
      <c r="F337" s="30">
        <v>57</v>
      </c>
      <c r="G337" s="34"/>
      <c r="H337" s="30">
        <v>43</v>
      </c>
      <c r="J337" s="30">
        <v>82</v>
      </c>
    </row>
    <row r="338" spans="2:10" x14ac:dyDescent="0.2">
      <c r="B338" s="30">
        <v>95</v>
      </c>
      <c r="D338" s="30">
        <v>37</v>
      </c>
      <c r="F338" s="30">
        <v>91</v>
      </c>
      <c r="G338" s="34"/>
      <c r="H338" s="30">
        <v>41</v>
      </c>
      <c r="J338" s="30">
        <v>16</v>
      </c>
    </row>
    <row r="339" spans="2:10" x14ac:dyDescent="0.2">
      <c r="B339" s="30">
        <v>72</v>
      </c>
      <c r="D339" s="30">
        <v>36</v>
      </c>
      <c r="F339" s="30">
        <v>100</v>
      </c>
      <c r="G339" s="34"/>
      <c r="H339" s="30">
        <v>29</v>
      </c>
      <c r="J339" s="30">
        <v>22</v>
      </c>
    </row>
    <row r="340" spans="2:10" x14ac:dyDescent="0.2">
      <c r="B340" s="30">
        <v>23</v>
      </c>
      <c r="D340" s="30">
        <v>89</v>
      </c>
      <c r="F340" s="30">
        <v>39</v>
      </c>
      <c r="G340" s="34"/>
      <c r="H340" s="30">
        <v>27</v>
      </c>
      <c r="J340" s="30">
        <v>44</v>
      </c>
    </row>
    <row r="341" spans="2:10" x14ac:dyDescent="0.2">
      <c r="B341" s="30">
        <v>54</v>
      </c>
      <c r="D341" s="30">
        <v>43</v>
      </c>
      <c r="F341" s="30">
        <v>17</v>
      </c>
      <c r="G341" s="34"/>
      <c r="H341" s="30">
        <v>53</v>
      </c>
      <c r="J341" s="30">
        <v>19</v>
      </c>
    </row>
    <row r="342" spans="2:10" x14ac:dyDescent="0.2">
      <c r="B342" s="30">
        <v>13</v>
      </c>
      <c r="D342" s="30">
        <v>21</v>
      </c>
      <c r="F342" s="30">
        <v>0</v>
      </c>
      <c r="G342" s="34"/>
      <c r="H342" s="30">
        <v>13</v>
      </c>
      <c r="J342" s="30">
        <v>12</v>
      </c>
    </row>
    <row r="343" spans="2:10" x14ac:dyDescent="0.2">
      <c r="B343" s="30">
        <v>62</v>
      </c>
      <c r="D343" s="30">
        <v>73</v>
      </c>
      <c r="F343" s="30">
        <v>82</v>
      </c>
      <c r="G343" s="34"/>
      <c r="H343" s="30">
        <v>55</v>
      </c>
      <c r="J343" s="30">
        <v>57</v>
      </c>
    </row>
    <row r="344" spans="2:10" x14ac:dyDescent="0.2">
      <c r="B344" s="30">
        <v>22</v>
      </c>
      <c r="D344" s="30">
        <v>79</v>
      </c>
      <c r="F344" s="30">
        <v>75</v>
      </c>
      <c r="G344" s="34"/>
      <c r="H344" s="30">
        <v>19</v>
      </c>
      <c r="J344" s="30">
        <v>86</v>
      </c>
    </row>
    <row r="345" spans="2:10" x14ac:dyDescent="0.2">
      <c r="B345" s="30">
        <v>26</v>
      </c>
      <c r="D345" s="30">
        <v>45</v>
      </c>
      <c r="F345" s="30">
        <v>5</v>
      </c>
      <c r="G345" s="34"/>
      <c r="H345" s="30">
        <v>78</v>
      </c>
      <c r="J345" s="30">
        <v>70</v>
      </c>
    </row>
    <row r="346" spans="2:10" x14ac:dyDescent="0.2">
      <c r="B346" s="30">
        <v>24</v>
      </c>
      <c r="D346" s="30">
        <v>13</v>
      </c>
      <c r="F346" s="30">
        <v>18</v>
      </c>
      <c r="G346" s="34"/>
      <c r="H346" s="30">
        <v>16</v>
      </c>
      <c r="J346" s="30">
        <v>67</v>
      </c>
    </row>
    <row r="347" spans="2:10" x14ac:dyDescent="0.2">
      <c r="B347" s="30">
        <v>35</v>
      </c>
      <c r="D347" s="30">
        <v>52</v>
      </c>
      <c r="F347" s="30">
        <v>55</v>
      </c>
      <c r="G347" s="34"/>
      <c r="H347" s="30">
        <v>16</v>
      </c>
      <c r="J347" s="30">
        <v>64</v>
      </c>
    </row>
    <row r="348" spans="2:10" x14ac:dyDescent="0.2">
      <c r="B348" s="30">
        <v>51</v>
      </c>
      <c r="D348" s="30">
        <v>0</v>
      </c>
      <c r="F348" s="30">
        <v>70</v>
      </c>
      <c r="G348" s="34"/>
      <c r="H348" s="30">
        <v>85</v>
      </c>
      <c r="J348" s="30">
        <v>63</v>
      </c>
    </row>
    <row r="349" spans="2:10" x14ac:dyDescent="0.2">
      <c r="B349" s="30">
        <v>47</v>
      </c>
      <c r="D349" s="30">
        <v>32</v>
      </c>
      <c r="F349" s="30">
        <v>28</v>
      </c>
      <c r="G349" s="34"/>
      <c r="H349" s="30">
        <v>9</v>
      </c>
      <c r="J349" s="30">
        <v>43</v>
      </c>
    </row>
    <row r="350" spans="2:10" x14ac:dyDescent="0.2">
      <c r="B350" s="30">
        <v>33</v>
      </c>
      <c r="D350" s="30">
        <v>36</v>
      </c>
      <c r="F350" s="59"/>
      <c r="G350" s="34"/>
      <c r="H350" s="59"/>
      <c r="J350" s="30">
        <v>51</v>
      </c>
    </row>
    <row r="351" spans="2:10" x14ac:dyDescent="0.2">
      <c r="B351" s="30">
        <v>86</v>
      </c>
      <c r="D351" s="30">
        <v>29</v>
      </c>
      <c r="F351" s="30">
        <v>46</v>
      </c>
      <c r="G351" s="34"/>
      <c r="H351" s="30">
        <v>88</v>
      </c>
      <c r="J351" s="30">
        <v>46</v>
      </c>
    </row>
    <row r="352" spans="2:10" x14ac:dyDescent="0.2">
      <c r="B352" s="30">
        <v>86</v>
      </c>
      <c r="D352" s="30">
        <v>65</v>
      </c>
      <c r="F352" s="30">
        <v>63</v>
      </c>
      <c r="G352" s="34"/>
      <c r="H352" s="30">
        <v>71</v>
      </c>
      <c r="J352" s="30">
        <v>23</v>
      </c>
    </row>
    <row r="353" spans="2:10" x14ac:dyDescent="0.2">
      <c r="B353" s="60">
        <v>69</v>
      </c>
      <c r="D353" s="30">
        <v>93</v>
      </c>
      <c r="F353" s="30">
        <v>36</v>
      </c>
      <c r="G353" s="34"/>
      <c r="H353" s="30">
        <v>15</v>
      </c>
      <c r="J353" s="59"/>
    </row>
    <row r="354" spans="2:10" x14ac:dyDescent="0.2">
      <c r="B354" s="30">
        <v>38</v>
      </c>
      <c r="C354" s="30" t="s">
        <v>127</v>
      </c>
      <c r="D354" s="30">
        <v>29</v>
      </c>
      <c r="F354" s="30">
        <v>29</v>
      </c>
      <c r="G354" s="34"/>
      <c r="H354" s="30">
        <v>81</v>
      </c>
      <c r="J354" s="30">
        <v>72</v>
      </c>
    </row>
    <row r="355" spans="2:10" x14ac:dyDescent="0.2">
      <c r="B355" s="30">
        <v>38</v>
      </c>
      <c r="D355" s="30">
        <v>74</v>
      </c>
      <c r="F355" s="30">
        <v>71</v>
      </c>
      <c r="G355" s="34"/>
      <c r="H355" s="30">
        <v>76</v>
      </c>
      <c r="J355" s="30">
        <v>58</v>
      </c>
    </row>
    <row r="356" spans="2:10" x14ac:dyDescent="0.2">
      <c r="B356" s="30">
        <v>88</v>
      </c>
      <c r="D356" s="30">
        <v>7</v>
      </c>
      <c r="F356" s="30">
        <v>68</v>
      </c>
      <c r="G356" s="34"/>
      <c r="H356" s="30">
        <v>35</v>
      </c>
      <c r="J356" s="30">
        <v>0</v>
      </c>
    </row>
    <row r="357" spans="2:10" x14ac:dyDescent="0.2">
      <c r="B357" s="30">
        <v>73</v>
      </c>
      <c r="D357" s="30">
        <v>22</v>
      </c>
      <c r="F357" s="30">
        <v>39</v>
      </c>
      <c r="G357" s="34"/>
      <c r="H357" s="30">
        <v>23</v>
      </c>
      <c r="J357" s="30">
        <v>96</v>
      </c>
    </row>
    <row r="358" spans="2:10" x14ac:dyDescent="0.2">
      <c r="B358" s="30">
        <v>54</v>
      </c>
      <c r="D358" s="30">
        <v>2</v>
      </c>
      <c r="F358" s="30">
        <v>80</v>
      </c>
      <c r="G358" s="34"/>
      <c r="H358" s="30">
        <v>26</v>
      </c>
      <c r="J358" s="30">
        <v>99</v>
      </c>
    </row>
    <row r="359" spans="2:10" x14ac:dyDescent="0.2">
      <c r="B359" s="30">
        <v>84</v>
      </c>
      <c r="D359" s="30">
        <v>20</v>
      </c>
      <c r="F359" s="30">
        <v>72</v>
      </c>
      <c r="G359" s="34"/>
      <c r="H359" s="30">
        <v>40</v>
      </c>
      <c r="J359" s="30">
        <v>24</v>
      </c>
    </row>
    <row r="360" spans="2:10" x14ac:dyDescent="0.2">
      <c r="B360" s="30">
        <v>75</v>
      </c>
      <c r="D360" s="30">
        <v>48</v>
      </c>
      <c r="F360" s="30">
        <v>50</v>
      </c>
      <c r="G360" s="34"/>
      <c r="H360" s="30">
        <v>19</v>
      </c>
      <c r="J360" s="30">
        <v>51</v>
      </c>
    </row>
    <row r="361" spans="2:10" x14ac:dyDescent="0.2">
      <c r="B361" s="30">
        <v>70</v>
      </c>
      <c r="D361" s="30">
        <v>89</v>
      </c>
      <c r="F361" s="30">
        <v>50</v>
      </c>
      <c r="G361" s="34"/>
      <c r="H361" s="30">
        <v>32</v>
      </c>
      <c r="J361" s="30">
        <v>48</v>
      </c>
    </row>
    <row r="362" spans="2:10" x14ac:dyDescent="0.2">
      <c r="B362" s="30">
        <v>46</v>
      </c>
      <c r="D362" s="30">
        <v>23</v>
      </c>
      <c r="F362" s="30">
        <v>21</v>
      </c>
      <c r="G362" s="34"/>
      <c r="H362" s="30">
        <v>69</v>
      </c>
      <c r="J362" s="30">
        <v>22</v>
      </c>
    </row>
    <row r="363" spans="2:10" x14ac:dyDescent="0.2">
      <c r="B363" s="30">
        <v>54</v>
      </c>
      <c r="D363" s="30">
        <v>48</v>
      </c>
      <c r="F363" s="30">
        <v>11</v>
      </c>
      <c r="G363" s="34"/>
      <c r="H363" s="30">
        <v>20</v>
      </c>
      <c r="J363" s="30">
        <v>23</v>
      </c>
    </row>
    <row r="364" spans="2:10" x14ac:dyDescent="0.2">
      <c r="B364" s="30">
        <v>94</v>
      </c>
      <c r="D364" s="30">
        <v>92</v>
      </c>
      <c r="F364" s="30">
        <v>40</v>
      </c>
      <c r="G364" s="34"/>
      <c r="H364" s="30">
        <v>13</v>
      </c>
      <c r="J364" s="30">
        <v>12</v>
      </c>
    </row>
    <row r="365" spans="2:10" x14ac:dyDescent="0.2">
      <c r="B365" s="30">
        <v>54</v>
      </c>
      <c r="D365" s="30">
        <v>58</v>
      </c>
      <c r="F365" s="30">
        <v>63</v>
      </c>
      <c r="G365" s="34"/>
      <c r="H365" s="30">
        <v>15</v>
      </c>
      <c r="J365" s="30">
        <v>21</v>
      </c>
    </row>
    <row r="366" spans="2:10" x14ac:dyDescent="0.2">
      <c r="B366" s="30">
        <v>43</v>
      </c>
      <c r="D366" s="30">
        <v>74</v>
      </c>
      <c r="F366" s="30">
        <v>33</v>
      </c>
      <c r="G366" s="34"/>
      <c r="H366" s="30">
        <v>48</v>
      </c>
      <c r="J366" s="30">
        <v>6</v>
      </c>
    </row>
    <row r="367" spans="2:10" x14ac:dyDescent="0.2">
      <c r="B367" s="30">
        <v>33</v>
      </c>
      <c r="D367" s="30">
        <v>13</v>
      </c>
      <c r="F367" s="30">
        <v>34</v>
      </c>
      <c r="G367" s="34"/>
      <c r="H367" s="30">
        <v>70</v>
      </c>
      <c r="J367" s="30">
        <v>70</v>
      </c>
    </row>
    <row r="368" spans="2:10" x14ac:dyDescent="0.2">
      <c r="B368" s="30">
        <v>29</v>
      </c>
      <c r="D368" s="30">
        <v>13</v>
      </c>
      <c r="F368" s="30">
        <v>35</v>
      </c>
      <c r="G368" s="34"/>
      <c r="H368" s="30">
        <v>75</v>
      </c>
      <c r="J368" s="30">
        <v>40</v>
      </c>
    </row>
    <row r="369" spans="2:10" x14ac:dyDescent="0.2">
      <c r="B369" s="30">
        <v>77</v>
      </c>
      <c r="D369" s="30">
        <v>34</v>
      </c>
      <c r="F369" s="30">
        <v>20</v>
      </c>
      <c r="G369" s="34"/>
      <c r="H369" s="30">
        <v>78</v>
      </c>
      <c r="J369" s="30">
        <v>50</v>
      </c>
    </row>
    <row r="370" spans="2:10" x14ac:dyDescent="0.2">
      <c r="B370" s="30">
        <v>62</v>
      </c>
      <c r="D370" s="30">
        <v>23</v>
      </c>
      <c r="F370" s="30">
        <v>43</v>
      </c>
      <c r="G370" s="34"/>
      <c r="H370" s="30">
        <v>99</v>
      </c>
      <c r="J370" s="30">
        <v>54</v>
      </c>
    </row>
    <row r="371" spans="2:10" x14ac:dyDescent="0.2">
      <c r="B371" s="30">
        <v>15</v>
      </c>
      <c r="D371" s="30">
        <v>32</v>
      </c>
      <c r="F371" s="30">
        <v>38</v>
      </c>
      <c r="G371" s="34"/>
      <c r="H371" s="30">
        <v>90</v>
      </c>
      <c r="J371" s="30">
        <v>70</v>
      </c>
    </row>
    <row r="372" spans="2:10" x14ac:dyDescent="0.2">
      <c r="B372" s="30">
        <v>79</v>
      </c>
      <c r="D372" s="30">
        <v>30</v>
      </c>
      <c r="F372" s="30">
        <v>93</v>
      </c>
      <c r="G372" s="34"/>
      <c r="H372" s="30">
        <v>21</v>
      </c>
      <c r="J372" s="30">
        <v>41</v>
      </c>
    </row>
    <row r="373" spans="2:10" x14ac:dyDescent="0.2">
      <c r="B373" s="30">
        <v>25</v>
      </c>
      <c r="D373" s="30">
        <v>31</v>
      </c>
      <c r="F373" s="30">
        <v>64</v>
      </c>
      <c r="G373" s="34"/>
      <c r="H373" s="30">
        <v>2</v>
      </c>
      <c r="J373" s="30">
        <v>62</v>
      </c>
    </row>
    <row r="374" spans="2:10" x14ac:dyDescent="0.2">
      <c r="B374" s="30">
        <v>91</v>
      </c>
      <c r="D374" s="30">
        <v>87</v>
      </c>
      <c r="F374" s="30">
        <v>20</v>
      </c>
      <c r="G374" s="34"/>
      <c r="H374" s="30">
        <v>66</v>
      </c>
      <c r="J374" s="30">
        <v>10</v>
      </c>
    </row>
    <row r="375" spans="2:10" x14ac:dyDescent="0.2">
      <c r="B375" s="30">
        <v>34</v>
      </c>
      <c r="D375" s="30">
        <v>65</v>
      </c>
      <c r="F375" s="30">
        <v>66</v>
      </c>
      <c r="G375" s="34"/>
      <c r="H375" s="30">
        <v>27</v>
      </c>
      <c r="J375" s="30">
        <v>81</v>
      </c>
    </row>
    <row r="376" spans="2:10" x14ac:dyDescent="0.2">
      <c r="B376" s="30">
        <v>18</v>
      </c>
      <c r="D376" s="30">
        <v>66</v>
      </c>
      <c r="F376" s="30">
        <v>14</v>
      </c>
      <c r="G376" s="34"/>
      <c r="H376" s="30">
        <v>21</v>
      </c>
      <c r="J376" s="30">
        <v>50</v>
      </c>
    </row>
    <row r="377" spans="2:10" x14ac:dyDescent="0.2">
      <c r="B377" s="30">
        <v>38</v>
      </c>
      <c r="D377" s="30">
        <v>56</v>
      </c>
      <c r="F377" s="30">
        <v>90</v>
      </c>
      <c r="G377" s="34"/>
      <c r="H377" s="30">
        <v>19</v>
      </c>
      <c r="J377" s="30">
        <v>55</v>
      </c>
    </row>
    <row r="378" spans="2:10" x14ac:dyDescent="0.2">
      <c r="B378" s="30">
        <v>84</v>
      </c>
      <c r="D378" s="30">
        <v>96</v>
      </c>
      <c r="F378" s="30">
        <v>30</v>
      </c>
      <c r="G378" s="34"/>
      <c r="H378" s="30">
        <v>97</v>
      </c>
      <c r="J378" s="30">
        <v>74</v>
      </c>
    </row>
    <row r="379" spans="2:10" x14ac:dyDescent="0.2">
      <c r="B379" s="30">
        <v>24</v>
      </c>
      <c r="D379" s="30">
        <v>53</v>
      </c>
      <c r="F379" s="30">
        <v>34</v>
      </c>
      <c r="G379" s="34"/>
      <c r="H379" s="30">
        <v>43</v>
      </c>
      <c r="J379" s="30">
        <v>23</v>
      </c>
    </row>
    <row r="380" spans="2:10" x14ac:dyDescent="0.2">
      <c r="B380" s="30">
        <v>44</v>
      </c>
      <c r="D380" s="30">
        <v>79</v>
      </c>
      <c r="F380" s="30">
        <v>53</v>
      </c>
      <c r="G380" s="34"/>
      <c r="H380" s="30">
        <v>91</v>
      </c>
      <c r="J380" s="30">
        <v>64</v>
      </c>
    </row>
    <row r="381" spans="2:10" x14ac:dyDescent="0.2">
      <c r="B381" s="30">
        <v>18</v>
      </c>
      <c r="D381" s="30">
        <v>90</v>
      </c>
      <c r="F381" s="30">
        <v>30</v>
      </c>
      <c r="G381" s="34"/>
      <c r="H381" s="30">
        <v>39</v>
      </c>
      <c r="J381" s="30">
        <f>SUM(J5:J380)</f>
        <v>17096</v>
      </c>
    </row>
    <row r="382" spans="2:10" x14ac:dyDescent="0.2">
      <c r="B382" s="30">
        <v>31</v>
      </c>
      <c r="D382" s="30">
        <v>56</v>
      </c>
      <c r="F382" s="30">
        <v>35</v>
      </c>
      <c r="G382" s="34"/>
      <c r="H382" s="30">
        <v>84</v>
      </c>
    </row>
    <row r="383" spans="2:10" x14ac:dyDescent="0.2">
      <c r="B383" s="30">
        <v>27</v>
      </c>
      <c r="D383" s="30">
        <v>75</v>
      </c>
      <c r="F383" s="30">
        <v>75</v>
      </c>
      <c r="G383" s="34"/>
      <c r="H383" s="30">
        <v>14</v>
      </c>
    </row>
    <row r="384" spans="2:10" x14ac:dyDescent="0.2">
      <c r="B384" s="30">
        <v>32</v>
      </c>
      <c r="D384" s="30">
        <v>21</v>
      </c>
      <c r="F384" s="30">
        <v>26</v>
      </c>
      <c r="G384" s="34"/>
      <c r="H384" s="30">
        <v>23</v>
      </c>
    </row>
    <row r="385" spans="2:8" x14ac:dyDescent="0.2">
      <c r="B385" s="30">
        <v>34</v>
      </c>
      <c r="D385" s="30">
        <v>54</v>
      </c>
      <c r="F385" s="30">
        <v>32</v>
      </c>
      <c r="G385" s="34"/>
      <c r="H385" s="30">
        <v>39</v>
      </c>
    </row>
    <row r="386" spans="2:8" x14ac:dyDescent="0.2">
      <c r="B386" s="30">
        <v>0</v>
      </c>
      <c r="D386" s="30">
        <v>91</v>
      </c>
      <c r="F386" s="30">
        <v>74</v>
      </c>
      <c r="G386" s="34"/>
      <c r="H386" s="30">
        <v>19</v>
      </c>
    </row>
    <row r="387" spans="2:8" x14ac:dyDescent="0.2">
      <c r="B387" s="30">
        <v>25</v>
      </c>
      <c r="D387" s="30">
        <v>21</v>
      </c>
      <c r="F387" s="30">
        <v>78</v>
      </c>
      <c r="G387" s="34"/>
      <c r="H387" s="30">
        <v>23</v>
      </c>
    </row>
    <row r="388" spans="2:8" x14ac:dyDescent="0.2">
      <c r="B388" s="30">
        <v>18</v>
      </c>
      <c r="D388" s="30">
        <v>26</v>
      </c>
      <c r="F388" s="30">
        <v>88</v>
      </c>
      <c r="G388" s="34"/>
      <c r="H388" s="30">
        <v>60</v>
      </c>
    </row>
    <row r="389" spans="2:8" x14ac:dyDescent="0.2">
      <c r="B389" s="30">
        <v>81</v>
      </c>
      <c r="D389" s="30">
        <v>81</v>
      </c>
      <c r="F389" s="30">
        <v>68</v>
      </c>
      <c r="G389" s="34"/>
      <c r="H389" s="30">
        <v>70</v>
      </c>
    </row>
    <row r="390" spans="2:8" x14ac:dyDescent="0.2">
      <c r="B390" s="30">
        <v>70</v>
      </c>
      <c r="D390" s="30">
        <v>25</v>
      </c>
      <c r="F390" s="30">
        <v>45</v>
      </c>
      <c r="G390" s="34"/>
      <c r="H390" s="30">
        <v>85</v>
      </c>
    </row>
    <row r="391" spans="2:8" x14ac:dyDescent="0.2">
      <c r="B391" s="30">
        <v>1</v>
      </c>
      <c r="D391" s="30">
        <v>27</v>
      </c>
      <c r="F391" s="30">
        <v>41</v>
      </c>
      <c r="G391" s="34"/>
      <c r="H391" s="30">
        <v>64</v>
      </c>
    </row>
    <row r="392" spans="2:8" x14ac:dyDescent="0.2">
      <c r="B392" s="30">
        <v>89</v>
      </c>
      <c r="D392" s="30">
        <v>58</v>
      </c>
      <c r="F392" s="30">
        <v>57</v>
      </c>
      <c r="G392" s="34"/>
      <c r="H392" s="30">
        <v>62</v>
      </c>
    </row>
    <row r="393" spans="2:8" x14ac:dyDescent="0.2">
      <c r="B393" s="30">
        <v>82</v>
      </c>
      <c r="D393" s="30">
        <v>25</v>
      </c>
      <c r="F393" s="30">
        <v>82</v>
      </c>
      <c r="G393" s="34"/>
      <c r="H393" s="30">
        <v>89</v>
      </c>
    </row>
    <row r="394" spans="2:8" x14ac:dyDescent="0.2">
      <c r="B394" s="30">
        <v>69</v>
      </c>
      <c r="D394" s="30">
        <v>59</v>
      </c>
      <c r="F394" s="30">
        <v>59</v>
      </c>
      <c r="G394" s="34"/>
      <c r="H394" s="30">
        <v>56</v>
      </c>
    </row>
    <row r="395" spans="2:8" x14ac:dyDescent="0.2">
      <c r="B395" s="30">
        <v>21</v>
      </c>
      <c r="D395" s="30">
        <v>28</v>
      </c>
      <c r="F395" s="30">
        <v>51</v>
      </c>
      <c r="G395" s="34"/>
      <c r="H395" s="30">
        <v>88</v>
      </c>
    </row>
    <row r="396" spans="2:8" x14ac:dyDescent="0.2">
      <c r="B396" s="30">
        <v>22</v>
      </c>
      <c r="D396" s="30">
        <v>34</v>
      </c>
      <c r="F396" s="30">
        <v>43</v>
      </c>
      <c r="G396" s="34"/>
      <c r="H396" s="30">
        <v>68</v>
      </c>
    </row>
    <row r="397" spans="2:8" x14ac:dyDescent="0.2">
      <c r="B397" s="30">
        <v>73</v>
      </c>
      <c r="D397" s="30">
        <v>42</v>
      </c>
      <c r="F397" s="30">
        <v>47</v>
      </c>
      <c r="G397" s="34"/>
      <c r="H397" s="30">
        <v>51</v>
      </c>
    </row>
    <row r="398" spans="2:8" x14ac:dyDescent="0.2">
      <c r="B398" s="30">
        <v>41</v>
      </c>
      <c r="D398" s="30">
        <v>19</v>
      </c>
      <c r="F398" s="30">
        <v>32</v>
      </c>
      <c r="G398" s="34"/>
      <c r="H398" s="30">
        <v>17</v>
      </c>
    </row>
    <row r="399" spans="2:8" x14ac:dyDescent="0.2">
      <c r="B399" s="30">
        <v>29</v>
      </c>
      <c r="D399" s="30">
        <v>12</v>
      </c>
      <c r="F399" s="30">
        <v>33</v>
      </c>
      <c r="G399" s="34"/>
      <c r="H399" s="30">
        <v>18</v>
      </c>
    </row>
    <row r="400" spans="2:8" x14ac:dyDescent="0.2">
      <c r="B400" s="30">
        <v>38</v>
      </c>
      <c r="D400" s="30">
        <v>20</v>
      </c>
      <c r="F400" s="59"/>
      <c r="G400" s="34"/>
      <c r="H400" s="59"/>
    </row>
    <row r="401" spans="2:8" x14ac:dyDescent="0.2">
      <c r="B401" s="30">
        <v>20</v>
      </c>
      <c r="D401" s="30">
        <v>18</v>
      </c>
      <c r="F401" s="30">
        <v>32</v>
      </c>
      <c r="G401" s="34"/>
      <c r="H401" s="30">
        <v>64</v>
      </c>
    </row>
    <row r="402" spans="2:8" x14ac:dyDescent="0.2">
      <c r="B402" s="30">
        <v>74</v>
      </c>
      <c r="D402" s="30">
        <v>51</v>
      </c>
      <c r="F402" s="30">
        <v>60</v>
      </c>
      <c r="G402" s="34"/>
      <c r="H402" s="30">
        <v>32</v>
      </c>
    </row>
    <row r="403" spans="2:8" x14ac:dyDescent="0.2">
      <c r="B403" s="30">
        <v>82</v>
      </c>
      <c r="D403" s="30">
        <v>46</v>
      </c>
      <c r="F403" s="30">
        <v>14</v>
      </c>
      <c r="G403" s="34"/>
      <c r="H403" s="30">
        <v>0</v>
      </c>
    </row>
    <row r="404" spans="2:8" x14ac:dyDescent="0.2">
      <c r="B404" s="30">
        <v>18</v>
      </c>
      <c r="D404" s="30">
        <v>28</v>
      </c>
      <c r="F404" s="30">
        <v>68</v>
      </c>
      <c r="G404" s="34"/>
      <c r="H404" s="30">
        <v>73</v>
      </c>
    </row>
    <row r="405" spans="2:8" x14ac:dyDescent="0.2">
      <c r="B405" s="60">
        <v>15</v>
      </c>
      <c r="D405" s="30">
        <v>79</v>
      </c>
      <c r="F405" s="30">
        <v>21</v>
      </c>
      <c r="G405" s="34"/>
      <c r="H405" s="30">
        <v>63</v>
      </c>
    </row>
    <row r="406" spans="2:8" x14ac:dyDescent="0.2">
      <c r="B406" s="30">
        <v>39</v>
      </c>
      <c r="C406" s="30" t="s">
        <v>128</v>
      </c>
      <c r="D406" s="30">
        <v>96</v>
      </c>
      <c r="F406" s="30">
        <v>97</v>
      </c>
      <c r="G406" s="34"/>
      <c r="H406" s="30">
        <v>18</v>
      </c>
    </row>
    <row r="407" spans="2:8" x14ac:dyDescent="0.2">
      <c r="B407" s="30">
        <v>23</v>
      </c>
      <c r="D407" s="30">
        <v>81</v>
      </c>
      <c r="F407" s="30">
        <v>20</v>
      </c>
      <c r="G407" s="34"/>
      <c r="H407" s="30">
        <v>41</v>
      </c>
    </row>
    <row r="408" spans="2:8" x14ac:dyDescent="0.2">
      <c r="B408" s="30">
        <v>28</v>
      </c>
      <c r="D408" s="30">
        <v>39</v>
      </c>
      <c r="F408" s="30">
        <v>17</v>
      </c>
      <c r="G408" s="34"/>
      <c r="H408" s="30">
        <v>44</v>
      </c>
    </row>
    <row r="409" spans="2:8" x14ac:dyDescent="0.2">
      <c r="B409" s="30">
        <v>39</v>
      </c>
      <c r="D409" s="30">
        <v>34</v>
      </c>
      <c r="F409" s="30">
        <v>44</v>
      </c>
      <c r="G409" s="34"/>
      <c r="H409" s="30">
        <v>19</v>
      </c>
    </row>
    <row r="410" spans="2:8" x14ac:dyDescent="0.2">
      <c r="B410" s="30">
        <v>16</v>
      </c>
      <c r="D410" s="30">
        <v>53</v>
      </c>
      <c r="F410" s="30">
        <v>91</v>
      </c>
      <c r="G410" s="34"/>
      <c r="H410" s="30">
        <v>16</v>
      </c>
    </row>
    <row r="411" spans="2:8" x14ac:dyDescent="0.2">
      <c r="B411" s="30">
        <v>93</v>
      </c>
      <c r="D411" s="30">
        <v>16</v>
      </c>
      <c r="F411" s="30">
        <v>14</v>
      </c>
      <c r="G411" s="34"/>
      <c r="H411" s="30">
        <v>9</v>
      </c>
    </row>
    <row r="412" spans="2:8" x14ac:dyDescent="0.2">
      <c r="B412" s="30">
        <v>83</v>
      </c>
      <c r="D412" s="30">
        <v>30</v>
      </c>
      <c r="F412" s="30">
        <v>96</v>
      </c>
      <c r="G412" s="34"/>
      <c r="H412" s="30">
        <v>16</v>
      </c>
    </row>
    <row r="413" spans="2:8" x14ac:dyDescent="0.2">
      <c r="B413" s="30">
        <v>75</v>
      </c>
      <c r="D413" s="30">
        <v>58</v>
      </c>
      <c r="F413" s="30">
        <v>52</v>
      </c>
      <c r="G413" s="34"/>
      <c r="H413" s="30">
        <v>33</v>
      </c>
    </row>
    <row r="414" spans="2:8" x14ac:dyDescent="0.2">
      <c r="B414" s="30">
        <v>89</v>
      </c>
      <c r="D414" s="30">
        <v>63</v>
      </c>
      <c r="F414" s="30">
        <v>64</v>
      </c>
      <c r="G414" s="34"/>
      <c r="H414" s="30">
        <v>64</v>
      </c>
    </row>
    <row r="415" spans="2:8" x14ac:dyDescent="0.2">
      <c r="B415" s="30">
        <v>82</v>
      </c>
      <c r="D415" s="30">
        <v>43</v>
      </c>
      <c r="E415" s="30" t="s">
        <v>122</v>
      </c>
      <c r="F415" s="30">
        <v>20</v>
      </c>
      <c r="G415" s="34"/>
      <c r="H415" s="30">
        <v>43</v>
      </c>
    </row>
    <row r="416" spans="2:8" x14ac:dyDescent="0.2">
      <c r="B416" s="30">
        <v>51</v>
      </c>
      <c r="D416" s="30">
        <v>34</v>
      </c>
      <c r="F416" s="30">
        <v>29</v>
      </c>
      <c r="G416" s="34"/>
      <c r="H416" s="30">
        <v>33</v>
      </c>
    </row>
    <row r="417" spans="2:8" x14ac:dyDescent="0.2">
      <c r="B417" s="30">
        <v>73</v>
      </c>
      <c r="D417" s="30">
        <v>26</v>
      </c>
      <c r="F417" s="30">
        <v>37</v>
      </c>
      <c r="G417" s="34"/>
      <c r="H417" s="30">
        <v>71</v>
      </c>
    </row>
    <row r="418" spans="2:8" x14ac:dyDescent="0.2">
      <c r="B418" s="30">
        <v>0</v>
      </c>
      <c r="D418" s="30">
        <v>85</v>
      </c>
      <c r="F418" s="30">
        <v>32</v>
      </c>
      <c r="G418" s="34"/>
      <c r="H418" s="30">
        <v>75</v>
      </c>
    </row>
    <row r="419" spans="2:8" x14ac:dyDescent="0.2">
      <c r="B419" s="30">
        <v>87</v>
      </c>
      <c r="D419" s="30">
        <v>12</v>
      </c>
      <c r="F419" s="30">
        <v>32</v>
      </c>
      <c r="G419" s="34"/>
      <c r="H419" s="30">
        <v>35</v>
      </c>
    </row>
    <row r="420" spans="2:8" x14ac:dyDescent="0.2">
      <c r="B420" s="30">
        <v>75</v>
      </c>
      <c r="D420" s="30">
        <v>30</v>
      </c>
      <c r="F420" s="30">
        <v>39</v>
      </c>
      <c r="G420" s="34"/>
      <c r="H420" s="30">
        <v>31</v>
      </c>
    </row>
    <row r="421" spans="2:8" x14ac:dyDescent="0.2">
      <c r="B421" s="30">
        <v>51</v>
      </c>
      <c r="D421" s="30">
        <v>36</v>
      </c>
      <c r="F421" s="30">
        <v>17</v>
      </c>
      <c r="G421" s="34"/>
      <c r="H421" s="30">
        <v>57</v>
      </c>
    </row>
    <row r="422" spans="2:8" x14ac:dyDescent="0.2">
      <c r="B422" s="30">
        <v>10</v>
      </c>
      <c r="D422" s="30">
        <v>41</v>
      </c>
      <c r="F422" s="30">
        <v>13</v>
      </c>
      <c r="G422" s="34"/>
      <c r="H422" s="30">
        <v>8</v>
      </c>
    </row>
    <row r="423" spans="2:8" x14ac:dyDescent="0.2">
      <c r="B423" s="30">
        <v>91</v>
      </c>
      <c r="D423" s="30">
        <v>80</v>
      </c>
      <c r="F423" s="30">
        <v>12</v>
      </c>
      <c r="G423" s="34"/>
      <c r="H423" s="30">
        <v>82</v>
      </c>
    </row>
    <row r="424" spans="2:8" x14ac:dyDescent="0.2">
      <c r="B424" s="30">
        <v>67</v>
      </c>
      <c r="D424" s="30">
        <v>11</v>
      </c>
      <c r="F424" s="30">
        <v>76</v>
      </c>
      <c r="G424" s="34"/>
      <c r="H424" s="30">
        <v>47</v>
      </c>
    </row>
    <row r="425" spans="2:8" x14ac:dyDescent="0.2">
      <c r="B425" s="30">
        <v>78</v>
      </c>
      <c r="D425" s="30">
        <v>42</v>
      </c>
      <c r="F425" s="30">
        <v>64</v>
      </c>
      <c r="G425" s="34"/>
      <c r="H425" s="30">
        <v>66</v>
      </c>
    </row>
    <row r="426" spans="2:8" x14ac:dyDescent="0.2">
      <c r="B426" s="30">
        <v>24</v>
      </c>
      <c r="D426" s="30">
        <v>13</v>
      </c>
      <c r="F426" s="30">
        <v>64</v>
      </c>
      <c r="G426" s="34"/>
      <c r="H426" s="30">
        <v>69</v>
      </c>
    </row>
    <row r="427" spans="2:8" x14ac:dyDescent="0.2">
      <c r="B427" s="30">
        <v>26</v>
      </c>
      <c r="D427" s="30">
        <v>62</v>
      </c>
      <c r="F427" s="30">
        <v>96</v>
      </c>
      <c r="G427" s="34"/>
      <c r="H427" s="30">
        <v>25</v>
      </c>
    </row>
    <row r="428" spans="2:8" x14ac:dyDescent="0.2">
      <c r="B428" s="30">
        <v>77</v>
      </c>
      <c r="D428" s="30">
        <v>32</v>
      </c>
      <c r="F428" s="30">
        <v>85</v>
      </c>
      <c r="G428" s="34"/>
      <c r="H428" s="30">
        <v>32</v>
      </c>
    </row>
    <row r="429" spans="2:8" x14ac:dyDescent="0.2">
      <c r="B429" s="30">
        <v>20</v>
      </c>
      <c r="D429" s="30">
        <v>26</v>
      </c>
      <c r="F429" s="30">
        <v>42</v>
      </c>
      <c r="G429" s="34"/>
      <c r="H429" s="30">
        <v>79</v>
      </c>
    </row>
    <row r="430" spans="2:8" x14ac:dyDescent="0.2">
      <c r="B430" s="30">
        <v>15</v>
      </c>
      <c r="D430" s="30">
        <v>39</v>
      </c>
      <c r="F430" s="30">
        <v>24</v>
      </c>
      <c r="G430" s="34"/>
      <c r="H430" s="30">
        <f>SUM(H5:H429)</f>
        <v>19403</v>
      </c>
    </row>
    <row r="431" spans="2:8" x14ac:dyDescent="0.2">
      <c r="B431" s="30">
        <v>67</v>
      </c>
      <c r="D431" s="30">
        <v>11</v>
      </c>
      <c r="F431" s="30">
        <v>23</v>
      </c>
      <c r="G431" s="34"/>
    </row>
    <row r="432" spans="2:8" x14ac:dyDescent="0.2">
      <c r="B432" s="30">
        <v>62</v>
      </c>
      <c r="D432" s="30">
        <v>81</v>
      </c>
      <c r="F432" s="30">
        <v>3</v>
      </c>
      <c r="G432" s="34"/>
    </row>
    <row r="433" spans="2:7" x14ac:dyDescent="0.2">
      <c r="B433" s="30">
        <v>23</v>
      </c>
      <c r="D433" s="30">
        <v>4</v>
      </c>
      <c r="F433" s="30">
        <v>68</v>
      </c>
      <c r="G433" s="34"/>
    </row>
    <row r="434" spans="2:7" x14ac:dyDescent="0.2">
      <c r="B434" s="30">
        <v>41</v>
      </c>
      <c r="D434" s="30">
        <v>61</v>
      </c>
      <c r="F434" s="30">
        <v>38</v>
      </c>
      <c r="G434" s="34"/>
    </row>
    <row r="435" spans="2:7" x14ac:dyDescent="0.2">
      <c r="B435" s="30">
        <v>26</v>
      </c>
      <c r="D435" s="30">
        <v>41</v>
      </c>
      <c r="F435" s="30">
        <v>25</v>
      </c>
      <c r="G435" s="34"/>
    </row>
    <row r="436" spans="2:7" x14ac:dyDescent="0.2">
      <c r="B436" s="30">
        <v>23</v>
      </c>
      <c r="D436" s="30">
        <v>35</v>
      </c>
      <c r="F436" s="30">
        <v>21</v>
      </c>
      <c r="G436" s="34"/>
    </row>
    <row r="437" spans="2:7" x14ac:dyDescent="0.2">
      <c r="B437" s="30">
        <v>22</v>
      </c>
      <c r="D437" s="30">
        <v>51</v>
      </c>
      <c r="F437" s="30">
        <v>24</v>
      </c>
      <c r="G437" s="34"/>
    </row>
    <row r="438" spans="2:7" x14ac:dyDescent="0.2">
      <c r="B438" s="30">
        <v>16</v>
      </c>
      <c r="D438" s="30">
        <v>9</v>
      </c>
      <c r="F438" s="30">
        <v>41</v>
      </c>
      <c r="G438" s="34"/>
    </row>
    <row r="439" spans="2:7" x14ac:dyDescent="0.2">
      <c r="B439" s="30">
        <v>11</v>
      </c>
      <c r="D439" s="30">
        <v>21</v>
      </c>
      <c r="F439" s="30">
        <v>91</v>
      </c>
      <c r="G439" s="34"/>
    </row>
    <row r="440" spans="2:7" x14ac:dyDescent="0.2">
      <c r="B440" s="30">
        <v>22</v>
      </c>
      <c r="D440" s="30">
        <v>8</v>
      </c>
      <c r="F440" s="30">
        <v>37</v>
      </c>
      <c r="G440" s="34"/>
    </row>
    <row r="441" spans="2:7" x14ac:dyDescent="0.2">
      <c r="B441" s="30">
        <v>16</v>
      </c>
      <c r="D441" s="30">
        <v>17</v>
      </c>
      <c r="F441" s="30">
        <v>41</v>
      </c>
      <c r="G441" s="34"/>
    </row>
    <row r="442" spans="2:7" x14ac:dyDescent="0.2">
      <c r="B442" s="30">
        <v>84</v>
      </c>
      <c r="D442" s="30">
        <v>33</v>
      </c>
      <c r="F442" s="30">
        <v>15</v>
      </c>
      <c r="G442" s="34"/>
    </row>
    <row r="443" spans="2:7" x14ac:dyDescent="0.2">
      <c r="B443" s="30">
        <v>53</v>
      </c>
      <c r="D443" s="30">
        <v>60</v>
      </c>
      <c r="F443" s="30">
        <v>15</v>
      </c>
      <c r="G443" s="34"/>
    </row>
    <row r="444" spans="2:7" x14ac:dyDescent="0.2">
      <c r="B444" s="30">
        <v>37</v>
      </c>
      <c r="D444" s="30">
        <v>52</v>
      </c>
      <c r="F444" s="30">
        <v>29</v>
      </c>
      <c r="G444" s="34"/>
    </row>
    <row r="445" spans="2:7" x14ac:dyDescent="0.2">
      <c r="B445" s="30">
        <v>70</v>
      </c>
      <c r="D445" s="30">
        <v>20</v>
      </c>
      <c r="F445" s="30">
        <v>35</v>
      </c>
      <c r="G445" s="34"/>
    </row>
    <row r="446" spans="2:7" x14ac:dyDescent="0.2">
      <c r="B446" s="30">
        <v>81</v>
      </c>
      <c r="D446" s="30">
        <v>35</v>
      </c>
      <c r="F446" s="30">
        <v>26</v>
      </c>
      <c r="G446" s="34"/>
    </row>
    <row r="447" spans="2:7" x14ac:dyDescent="0.2">
      <c r="B447" s="30">
        <v>47</v>
      </c>
      <c r="D447" s="30">
        <v>25</v>
      </c>
      <c r="F447" s="30">
        <v>22</v>
      </c>
      <c r="G447" s="34"/>
    </row>
    <row r="448" spans="2:7" x14ac:dyDescent="0.2">
      <c r="B448" s="30">
        <v>97</v>
      </c>
      <c r="D448" s="30">
        <v>26</v>
      </c>
      <c r="F448" s="30">
        <v>85</v>
      </c>
      <c r="G448" s="34"/>
    </row>
    <row r="449" spans="2:7" x14ac:dyDescent="0.2">
      <c r="B449" s="30">
        <v>33</v>
      </c>
      <c r="D449" s="30">
        <v>26</v>
      </c>
      <c r="F449" s="30">
        <v>97</v>
      </c>
      <c r="G449" s="34"/>
    </row>
    <row r="450" spans="2:7" x14ac:dyDescent="0.2">
      <c r="B450" s="30">
        <v>35</v>
      </c>
      <c r="D450" s="30">
        <v>53</v>
      </c>
      <c r="F450" s="59"/>
      <c r="G450" s="34"/>
    </row>
    <row r="451" spans="2:7" x14ac:dyDescent="0.2">
      <c r="B451" s="30">
        <v>56</v>
      </c>
      <c r="D451" s="30">
        <v>19</v>
      </c>
      <c r="F451" s="30">
        <v>78</v>
      </c>
      <c r="G451" s="34"/>
    </row>
    <row r="452" spans="2:7" x14ac:dyDescent="0.2">
      <c r="B452" s="30">
        <v>28</v>
      </c>
      <c r="D452" s="30">
        <v>29</v>
      </c>
      <c r="F452" s="30">
        <v>61</v>
      </c>
      <c r="G452" s="34"/>
    </row>
    <row r="453" spans="2:7" x14ac:dyDescent="0.2">
      <c r="B453" s="60">
        <v>31</v>
      </c>
      <c r="D453" s="30">
        <v>28</v>
      </c>
      <c r="F453" s="30">
        <v>59</v>
      </c>
      <c r="G453" s="34"/>
    </row>
    <row r="454" spans="2:7" x14ac:dyDescent="0.2">
      <c r="B454" s="30">
        <v>70</v>
      </c>
      <c r="C454" s="30" t="s">
        <v>129</v>
      </c>
      <c r="D454" s="30">
        <v>60</v>
      </c>
      <c r="F454" s="30">
        <v>87</v>
      </c>
      <c r="G454" s="34"/>
    </row>
    <row r="455" spans="2:7" x14ac:dyDescent="0.2">
      <c r="B455" s="30">
        <v>58</v>
      </c>
      <c r="D455" s="30">
        <v>32</v>
      </c>
      <c r="F455" s="30">
        <v>2</v>
      </c>
      <c r="G455" s="34"/>
    </row>
    <row r="456" spans="2:7" x14ac:dyDescent="0.2">
      <c r="B456" s="30">
        <v>48</v>
      </c>
      <c r="D456" s="30">
        <v>29</v>
      </c>
      <c r="F456" s="30">
        <v>36</v>
      </c>
      <c r="G456" s="34"/>
    </row>
    <row r="457" spans="2:7" x14ac:dyDescent="0.2">
      <c r="B457" s="30">
        <v>27</v>
      </c>
      <c r="D457" s="30">
        <v>23</v>
      </c>
      <c r="F457" s="30">
        <v>73</v>
      </c>
      <c r="G457" s="34"/>
    </row>
    <row r="458" spans="2:7" x14ac:dyDescent="0.2">
      <c r="B458" s="30">
        <v>82</v>
      </c>
      <c r="D458" s="30">
        <v>80</v>
      </c>
      <c r="F458" s="30">
        <v>18</v>
      </c>
      <c r="G458" s="34"/>
    </row>
    <row r="459" spans="2:7" x14ac:dyDescent="0.2">
      <c r="B459" s="30">
        <v>39</v>
      </c>
      <c r="D459" s="30">
        <v>18</v>
      </c>
      <c r="F459" s="30">
        <v>39</v>
      </c>
      <c r="G459" s="34"/>
    </row>
    <row r="460" spans="2:7" x14ac:dyDescent="0.2">
      <c r="B460" s="30">
        <v>50</v>
      </c>
      <c r="D460" s="30">
        <v>32</v>
      </c>
      <c r="F460" s="30">
        <v>86</v>
      </c>
      <c r="G460" s="34"/>
    </row>
    <row r="461" spans="2:7" x14ac:dyDescent="0.2">
      <c r="B461" s="30">
        <v>60</v>
      </c>
      <c r="D461" s="30">
        <v>30</v>
      </c>
      <c r="F461" s="30">
        <v>68</v>
      </c>
      <c r="G461" s="34"/>
    </row>
    <row r="462" spans="2:7" x14ac:dyDescent="0.2">
      <c r="B462" s="30">
        <v>22</v>
      </c>
      <c r="D462" s="30">
        <v>18</v>
      </c>
      <c r="F462" s="30">
        <v>97</v>
      </c>
      <c r="G462" s="34"/>
    </row>
    <row r="463" spans="2:7" x14ac:dyDescent="0.2">
      <c r="B463" s="30">
        <v>87</v>
      </c>
      <c r="D463" s="30">
        <v>72</v>
      </c>
      <c r="F463" s="30">
        <v>46</v>
      </c>
      <c r="G463" s="34"/>
    </row>
    <row r="464" spans="2:7" x14ac:dyDescent="0.2">
      <c r="B464" s="30">
        <v>86</v>
      </c>
      <c r="D464" s="30">
        <v>64</v>
      </c>
      <c r="F464" s="30">
        <v>78</v>
      </c>
      <c r="G464" s="34"/>
    </row>
    <row r="465" spans="2:7" x14ac:dyDescent="0.2">
      <c r="B465" s="30">
        <v>23</v>
      </c>
      <c r="D465" s="30">
        <v>49</v>
      </c>
      <c r="F465" s="30">
        <v>21</v>
      </c>
      <c r="G465" s="34"/>
    </row>
    <row r="466" spans="2:7" x14ac:dyDescent="0.2">
      <c r="B466" s="30">
        <v>62</v>
      </c>
      <c r="D466" s="30">
        <v>59</v>
      </c>
      <c r="F466" s="30">
        <v>22</v>
      </c>
      <c r="G466" s="34"/>
    </row>
    <row r="467" spans="2:7" x14ac:dyDescent="0.2">
      <c r="B467" s="30">
        <v>22</v>
      </c>
      <c r="D467" s="30">
        <v>91</v>
      </c>
      <c r="F467" s="30">
        <v>72</v>
      </c>
      <c r="G467" s="34"/>
    </row>
    <row r="468" spans="2:7" x14ac:dyDescent="0.2">
      <c r="B468" s="30">
        <v>28</v>
      </c>
      <c r="D468" s="30">
        <v>51</v>
      </c>
      <c r="F468" s="30">
        <v>34</v>
      </c>
      <c r="G468" s="34"/>
    </row>
    <row r="469" spans="2:7" x14ac:dyDescent="0.2">
      <c r="B469" s="30">
        <v>78</v>
      </c>
      <c r="D469" s="30">
        <v>33</v>
      </c>
      <c r="F469" s="30">
        <v>0</v>
      </c>
      <c r="G469" s="34"/>
    </row>
    <row r="470" spans="2:7" x14ac:dyDescent="0.2">
      <c r="B470" s="30">
        <v>8</v>
      </c>
      <c r="D470" s="30">
        <v>88</v>
      </c>
      <c r="F470" s="30">
        <v>86</v>
      </c>
      <c r="G470" s="34"/>
    </row>
    <row r="471" spans="2:7" x14ac:dyDescent="0.2">
      <c r="B471" s="30">
        <v>7</v>
      </c>
      <c r="D471" s="30">
        <v>70</v>
      </c>
      <c r="F471" s="30">
        <v>47</v>
      </c>
      <c r="G471" s="34"/>
    </row>
    <row r="472" spans="2:7" x14ac:dyDescent="0.2">
      <c r="B472" s="30">
        <v>49</v>
      </c>
      <c r="D472" s="30">
        <v>64</v>
      </c>
      <c r="F472" s="30">
        <v>77</v>
      </c>
      <c r="G472" s="34"/>
    </row>
    <row r="473" spans="2:7" x14ac:dyDescent="0.2">
      <c r="B473" s="30">
        <v>28</v>
      </c>
      <c r="D473" s="30">
        <v>68</v>
      </c>
      <c r="F473" s="30">
        <v>24</v>
      </c>
      <c r="G473" s="34"/>
    </row>
    <row r="474" spans="2:7" x14ac:dyDescent="0.2">
      <c r="B474" s="30">
        <v>15</v>
      </c>
      <c r="D474" s="30">
        <v>20</v>
      </c>
      <c r="F474" s="30">
        <v>57</v>
      </c>
      <c r="G474" s="34"/>
    </row>
    <row r="475" spans="2:7" x14ac:dyDescent="0.2">
      <c r="B475" s="30">
        <v>34</v>
      </c>
      <c r="D475" s="30">
        <v>80</v>
      </c>
      <c r="F475" s="30">
        <v>41</v>
      </c>
      <c r="G475" s="34"/>
    </row>
    <row r="476" spans="2:7" x14ac:dyDescent="0.2">
      <c r="B476" s="30">
        <v>43</v>
      </c>
      <c r="D476" s="30">
        <v>82</v>
      </c>
      <c r="F476" s="30">
        <v>25</v>
      </c>
      <c r="G476" s="34"/>
    </row>
    <row r="477" spans="2:7" x14ac:dyDescent="0.2">
      <c r="B477" s="30">
        <v>53</v>
      </c>
      <c r="D477" s="30">
        <v>35</v>
      </c>
      <c r="F477" s="30">
        <v>27</v>
      </c>
      <c r="G477" s="34"/>
    </row>
    <row r="478" spans="2:7" x14ac:dyDescent="0.2">
      <c r="B478" s="30">
        <v>93</v>
      </c>
      <c r="D478" s="30">
        <v>40</v>
      </c>
      <c r="F478" s="30">
        <v>7</v>
      </c>
      <c r="G478" s="34"/>
    </row>
    <row r="479" spans="2:7" x14ac:dyDescent="0.2">
      <c r="B479" s="30">
        <v>97</v>
      </c>
      <c r="D479" s="30">
        <v>20</v>
      </c>
      <c r="F479" s="30">
        <v>14</v>
      </c>
      <c r="G479" s="34"/>
    </row>
    <row r="480" spans="2:7" x14ac:dyDescent="0.2">
      <c r="B480" s="30">
        <v>61</v>
      </c>
      <c r="D480" s="30">
        <v>73</v>
      </c>
      <c r="F480" s="30">
        <v>10</v>
      </c>
      <c r="G480" s="34"/>
    </row>
    <row r="481" spans="2:7" x14ac:dyDescent="0.2">
      <c r="B481" s="30">
        <v>46</v>
      </c>
      <c r="D481" s="30">
        <v>61</v>
      </c>
      <c r="F481" s="30">
        <v>20</v>
      </c>
      <c r="G481" s="34"/>
    </row>
    <row r="482" spans="2:7" x14ac:dyDescent="0.2">
      <c r="B482" s="30">
        <v>23</v>
      </c>
      <c r="D482" s="30">
        <v>6</v>
      </c>
      <c r="F482" s="30">
        <v>16</v>
      </c>
      <c r="G482" s="34"/>
    </row>
    <row r="483" spans="2:7" x14ac:dyDescent="0.2">
      <c r="B483" s="30">
        <v>80</v>
      </c>
      <c r="D483" s="30">
        <v>12</v>
      </c>
      <c r="F483" s="30">
        <v>63</v>
      </c>
      <c r="G483" s="34"/>
    </row>
    <row r="484" spans="2:7" x14ac:dyDescent="0.2">
      <c r="B484" s="30">
        <f>SUM(B6:B483)</f>
        <v>22906</v>
      </c>
      <c r="D484" s="30">
        <v>44</v>
      </c>
      <c r="F484" s="30">
        <v>55</v>
      </c>
      <c r="G484" s="34"/>
    </row>
    <row r="485" spans="2:7" x14ac:dyDescent="0.2">
      <c r="D485" s="30">
        <v>25</v>
      </c>
      <c r="F485" s="30">
        <v>28</v>
      </c>
      <c r="G485" s="34"/>
    </row>
    <row r="486" spans="2:7" x14ac:dyDescent="0.2">
      <c r="D486" s="30">
        <v>20</v>
      </c>
      <c r="F486" s="30">
        <v>41</v>
      </c>
      <c r="G486" s="34"/>
    </row>
    <row r="487" spans="2:7" x14ac:dyDescent="0.2">
      <c r="D487" s="30">
        <v>29</v>
      </c>
      <c r="F487" s="30">
        <v>68</v>
      </c>
      <c r="G487" s="34"/>
    </row>
    <row r="488" spans="2:7" x14ac:dyDescent="0.2">
      <c r="D488" s="30">
        <v>31</v>
      </c>
      <c r="F488" s="30">
        <v>77</v>
      </c>
      <c r="G488" s="34"/>
    </row>
    <row r="489" spans="2:7" x14ac:dyDescent="0.2">
      <c r="D489" s="30">
        <v>52</v>
      </c>
      <c r="F489" s="30">
        <v>58</v>
      </c>
      <c r="G489" s="34"/>
    </row>
    <row r="490" spans="2:7" x14ac:dyDescent="0.2">
      <c r="D490" s="30">
        <v>69</v>
      </c>
      <c r="F490" s="30">
        <v>71</v>
      </c>
      <c r="G490" s="34"/>
    </row>
  </sheetData>
  <mergeCells count="1">
    <mergeCell ref="B2:X2"/>
  </mergeCells>
  <phoneticPr fontId="3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S1085"/>
  <sheetViews>
    <sheetView topLeftCell="A105" zoomScale="110" zoomScaleNormal="110" workbookViewId="0">
      <selection activeCell="G116" sqref="G116"/>
    </sheetView>
  </sheetViews>
  <sheetFormatPr defaultRowHeight="12.75" x14ac:dyDescent="0.2"/>
  <cols>
    <col min="1" max="1" width="16.5703125" style="30" customWidth="1"/>
    <col min="2" max="2" width="0.42578125" style="30" customWidth="1"/>
    <col min="3" max="3" width="11.28515625" style="30" customWidth="1"/>
    <col min="4" max="4" width="9.42578125" style="30" customWidth="1"/>
    <col min="5" max="5" width="10.5703125" style="30" customWidth="1"/>
    <col min="6" max="6" width="4.140625" style="30" customWidth="1"/>
    <col min="7" max="7" width="12.28515625" style="30" customWidth="1"/>
    <col min="8" max="8" width="10" style="30" customWidth="1"/>
    <col min="9" max="9" width="11" style="30" customWidth="1"/>
    <col min="10" max="10" width="12.140625" style="339" customWidth="1"/>
    <col min="11" max="11" width="24.42578125" style="15" customWidth="1"/>
    <col min="12" max="13" width="12.140625" style="13" customWidth="1"/>
    <col min="14" max="14" width="10.85546875" style="13" customWidth="1"/>
    <col min="15" max="15" width="11.42578125" style="15" customWidth="1"/>
    <col min="16" max="16" width="11.42578125" style="339" customWidth="1"/>
    <col min="17" max="17" width="11.42578125" style="30" customWidth="1"/>
    <col min="18" max="18" width="3.5703125" style="30" customWidth="1"/>
    <col min="19" max="20" width="9.140625" style="30"/>
    <col min="21" max="21" width="10" style="30" bestFit="1" customWidth="1"/>
    <col min="22" max="22" width="9.140625" style="30"/>
    <col min="23" max="23" width="8.28515625" style="30" customWidth="1"/>
    <col min="24" max="24" width="9.140625" style="30"/>
    <col min="25" max="25" width="10" style="30" bestFit="1" customWidth="1"/>
    <col min="26" max="26" width="9.140625" style="30"/>
    <col min="27" max="27" width="10" style="30" bestFit="1" customWidth="1"/>
    <col min="28" max="28" width="9.140625" style="30"/>
    <col min="29" max="29" width="10" style="30" bestFit="1" customWidth="1"/>
    <col min="30" max="32" width="9.140625" style="30"/>
    <col min="33" max="33" width="10" style="30" bestFit="1" customWidth="1"/>
    <col min="34" max="36" width="9.140625" style="30"/>
    <col min="37" max="37" width="11.28515625" style="30" customWidth="1"/>
    <col min="38" max="16384" width="9.140625" style="30"/>
  </cols>
  <sheetData>
    <row r="2" spans="1:14" x14ac:dyDescent="0.2">
      <c r="A2" s="30" t="s">
        <v>64</v>
      </c>
    </row>
    <row r="3" spans="1:14" x14ac:dyDescent="0.2">
      <c r="A3" s="30" t="s">
        <v>0</v>
      </c>
    </row>
    <row r="5" spans="1:14" ht="15" x14ac:dyDescent="0.25">
      <c r="A5" s="31" t="s">
        <v>65</v>
      </c>
    </row>
    <row r="6" spans="1:14" x14ac:dyDescent="0.2">
      <c r="A6" s="30" t="s">
        <v>66</v>
      </c>
    </row>
    <row r="7" spans="1:14" ht="13.5" thickBot="1" x14ac:dyDescent="0.25"/>
    <row r="8" spans="1:14" x14ac:dyDescent="0.2">
      <c r="A8" s="1081" t="s">
        <v>67</v>
      </c>
      <c r="B8" s="1084" t="s">
        <v>68</v>
      </c>
      <c r="C8" s="1085"/>
      <c r="D8" s="1085"/>
      <c r="E8" s="1085"/>
      <c r="F8" s="1085"/>
      <c r="G8" s="1085"/>
      <c r="H8" s="1085"/>
      <c r="I8" s="1086"/>
      <c r="J8" s="1102" t="s">
        <v>68</v>
      </c>
      <c r="K8" s="1103"/>
      <c r="L8" s="1104"/>
      <c r="M8" s="387" t="s">
        <v>69</v>
      </c>
    </row>
    <row r="9" spans="1:14" x14ac:dyDescent="0.2">
      <c r="A9" s="1082"/>
      <c r="B9" s="1105" t="s">
        <v>3</v>
      </c>
      <c r="C9" s="1107" t="s">
        <v>48</v>
      </c>
      <c r="D9" s="1108"/>
      <c r="E9" s="1108"/>
      <c r="F9" s="1109"/>
      <c r="G9" s="62"/>
      <c r="H9" s="1105" t="s">
        <v>58</v>
      </c>
      <c r="I9" s="293"/>
      <c r="J9" s="388"/>
      <c r="K9" s="407"/>
      <c r="L9" s="389"/>
      <c r="M9" s="390"/>
    </row>
    <row r="10" spans="1:14" ht="13.5" thickBot="1" x14ac:dyDescent="0.25">
      <c r="A10" s="1083"/>
      <c r="B10" s="1106"/>
      <c r="C10" s="32" t="s">
        <v>7</v>
      </c>
      <c r="D10" s="32" t="s">
        <v>8</v>
      </c>
      <c r="E10" s="32" t="s">
        <v>70</v>
      </c>
      <c r="F10" s="32" t="s">
        <v>71</v>
      </c>
      <c r="G10" s="354"/>
      <c r="H10" s="1106"/>
      <c r="I10" s="33" t="s">
        <v>2</v>
      </c>
      <c r="J10" s="391" t="s">
        <v>72</v>
      </c>
      <c r="K10" s="408" t="s">
        <v>73</v>
      </c>
      <c r="L10" s="392" t="s">
        <v>2</v>
      </c>
      <c r="M10" s="393" t="s">
        <v>68</v>
      </c>
      <c r="N10" s="394"/>
    </row>
    <row r="11" spans="1:14" x14ac:dyDescent="0.2">
      <c r="A11" s="35" t="s">
        <v>74</v>
      </c>
      <c r="B11" s="36">
        <v>2291501</v>
      </c>
      <c r="C11" s="36">
        <v>951949</v>
      </c>
      <c r="D11" s="36">
        <v>136612</v>
      </c>
      <c r="E11" s="36">
        <v>299782</v>
      </c>
      <c r="F11" s="36">
        <v>46876</v>
      </c>
      <c r="G11" s="36">
        <f t="shared" ref="G11:G16" si="0">C11+D11+E11+F11</f>
        <v>1435219</v>
      </c>
      <c r="H11" s="36">
        <v>227500</v>
      </c>
      <c r="I11" s="37">
        <f>SUM(B11:H11)</f>
        <v>5389439</v>
      </c>
      <c r="J11" s="395">
        <v>208118</v>
      </c>
      <c r="K11" s="409">
        <v>12119</v>
      </c>
      <c r="L11" s="396">
        <f>SUM(J11:K11)</f>
        <v>220237</v>
      </c>
      <c r="M11" s="397">
        <f>I11-L11</f>
        <v>5169202</v>
      </c>
    </row>
    <row r="12" spans="1:14" x14ac:dyDescent="0.2">
      <c r="A12" s="38" t="s">
        <v>75</v>
      </c>
      <c r="B12" s="36">
        <v>2479525</v>
      </c>
      <c r="C12" s="36">
        <v>975711</v>
      </c>
      <c r="D12" s="36">
        <v>139778</v>
      </c>
      <c r="E12" s="36">
        <v>302032</v>
      </c>
      <c r="F12" s="36">
        <v>44893</v>
      </c>
      <c r="G12" s="36">
        <f t="shared" si="0"/>
        <v>1462414</v>
      </c>
      <c r="H12" s="36">
        <v>212100</v>
      </c>
      <c r="I12" s="36">
        <f t="shared" ref="I12:I23" si="1">SUM(B12:H12)</f>
        <v>5616453</v>
      </c>
      <c r="J12" s="398">
        <v>213041</v>
      </c>
      <c r="K12" s="410">
        <v>12040</v>
      </c>
      <c r="L12" s="399">
        <f t="shared" ref="L12:L23" si="2">SUM(J12:K12)</f>
        <v>225081</v>
      </c>
      <c r="M12" s="400">
        <f t="shared" ref="M12:M23" si="3">I12-L12</f>
        <v>5391372</v>
      </c>
    </row>
    <row r="13" spans="1:14" x14ac:dyDescent="0.2">
      <c r="A13" s="39" t="s">
        <v>76</v>
      </c>
      <c r="B13" s="36">
        <v>2156278</v>
      </c>
      <c r="C13" s="36">
        <v>923484</v>
      </c>
      <c r="D13" s="36">
        <v>158483</v>
      </c>
      <c r="E13" s="36">
        <v>292786</v>
      </c>
      <c r="F13" s="36">
        <v>40520</v>
      </c>
      <c r="G13" s="36">
        <f t="shared" si="0"/>
        <v>1415273</v>
      </c>
      <c r="H13" s="36">
        <v>249200</v>
      </c>
      <c r="I13" s="36">
        <f t="shared" si="1"/>
        <v>5236024</v>
      </c>
      <c r="J13" s="398">
        <v>232833</v>
      </c>
      <c r="K13" s="410">
        <v>12285</v>
      </c>
      <c r="L13" s="399">
        <f t="shared" si="2"/>
        <v>245118</v>
      </c>
      <c r="M13" s="400">
        <f t="shared" si="3"/>
        <v>4990906</v>
      </c>
    </row>
    <row r="14" spans="1:14" x14ac:dyDescent="0.2">
      <c r="A14" s="40" t="s">
        <v>77</v>
      </c>
      <c r="B14" s="36">
        <v>2184564</v>
      </c>
      <c r="C14" s="36">
        <v>905162</v>
      </c>
      <c r="D14" s="36">
        <v>181587</v>
      </c>
      <c r="E14" s="36">
        <v>276666</v>
      </c>
      <c r="F14" s="36">
        <v>37561</v>
      </c>
      <c r="G14" s="36">
        <f t="shared" si="0"/>
        <v>1400976</v>
      </c>
      <c r="H14" s="36">
        <v>254800</v>
      </c>
      <c r="I14" s="36">
        <f t="shared" si="1"/>
        <v>5241316</v>
      </c>
      <c r="J14" s="398">
        <v>240102</v>
      </c>
      <c r="K14" s="410">
        <v>13123</v>
      </c>
      <c r="L14" s="399">
        <f t="shared" si="2"/>
        <v>253225</v>
      </c>
      <c r="M14" s="400">
        <f t="shared" si="3"/>
        <v>4988091</v>
      </c>
    </row>
    <row r="15" spans="1:14" x14ac:dyDescent="0.2">
      <c r="A15" s="39" t="s">
        <v>78</v>
      </c>
      <c r="B15" s="36">
        <v>2695569</v>
      </c>
      <c r="C15" s="36">
        <v>1085073</v>
      </c>
      <c r="D15" s="36">
        <v>208510</v>
      </c>
      <c r="E15" s="36">
        <v>293154</v>
      </c>
      <c r="F15" s="36">
        <v>40007</v>
      </c>
      <c r="G15" s="36">
        <f t="shared" si="0"/>
        <v>1626744</v>
      </c>
      <c r="H15" s="36">
        <v>252700</v>
      </c>
      <c r="I15" s="36">
        <f t="shared" si="1"/>
        <v>6201757</v>
      </c>
      <c r="J15" s="398">
        <v>224246</v>
      </c>
      <c r="K15" s="410">
        <v>13507</v>
      </c>
      <c r="L15" s="399">
        <f t="shared" si="2"/>
        <v>237753</v>
      </c>
      <c r="M15" s="400">
        <f t="shared" si="3"/>
        <v>5964004</v>
      </c>
    </row>
    <row r="16" spans="1:14" x14ac:dyDescent="0.2">
      <c r="A16" s="39" t="s">
        <v>79</v>
      </c>
      <c r="B16" s="36">
        <f>2658415+437</f>
        <v>2658852</v>
      </c>
      <c r="C16" s="36">
        <v>1014839</v>
      </c>
      <c r="D16" s="36">
        <v>232715</v>
      </c>
      <c r="E16" s="36">
        <v>299954</v>
      </c>
      <c r="F16" s="36">
        <v>38364</v>
      </c>
      <c r="G16" s="36">
        <f t="shared" si="0"/>
        <v>1585872</v>
      </c>
      <c r="H16" s="36">
        <v>289800</v>
      </c>
      <c r="I16" s="36">
        <f>SUM(B16:H16)</f>
        <v>6120396</v>
      </c>
      <c r="J16" s="398">
        <f>229862-871</f>
        <v>228991</v>
      </c>
      <c r="K16" s="410">
        <v>13133</v>
      </c>
      <c r="L16" s="399">
        <f>SUM(J16:K16)</f>
        <v>242124</v>
      </c>
      <c r="M16" s="400">
        <f>I16-L16</f>
        <v>5878272</v>
      </c>
    </row>
    <row r="17" spans="1:13" x14ac:dyDescent="0.2">
      <c r="A17" s="39" t="s">
        <v>80</v>
      </c>
      <c r="B17" s="36">
        <f>2608554</f>
        <v>2608554</v>
      </c>
      <c r="C17" s="351">
        <v>1597293</v>
      </c>
      <c r="D17" s="352"/>
      <c r="E17" s="352"/>
      <c r="F17" s="353"/>
      <c r="G17" s="353"/>
      <c r="H17" s="36">
        <v>315700</v>
      </c>
      <c r="I17" s="36">
        <f t="shared" si="1"/>
        <v>4521547</v>
      </c>
      <c r="J17" s="398">
        <f>230807-882</f>
        <v>229925</v>
      </c>
      <c r="K17" s="410">
        <v>13145</v>
      </c>
      <c r="L17" s="399">
        <f>SUM(J17:K17)</f>
        <v>243070</v>
      </c>
      <c r="M17" s="400">
        <f>I17-L17</f>
        <v>4278477</v>
      </c>
    </row>
    <row r="18" spans="1:13" x14ac:dyDescent="0.2">
      <c r="A18" s="39" t="s">
        <v>81</v>
      </c>
      <c r="B18" s="36"/>
      <c r="C18" s="1093"/>
      <c r="D18" s="1094"/>
      <c r="E18" s="1094"/>
      <c r="F18" s="1095"/>
      <c r="G18" s="292"/>
      <c r="H18" s="36"/>
      <c r="I18" s="36">
        <f t="shared" si="1"/>
        <v>0</v>
      </c>
      <c r="J18" s="398"/>
      <c r="K18" s="410"/>
      <c r="L18" s="399">
        <f t="shared" si="2"/>
        <v>0</v>
      </c>
      <c r="M18" s="400">
        <f t="shared" si="3"/>
        <v>0</v>
      </c>
    </row>
    <row r="19" spans="1:13" x14ac:dyDescent="0.2">
      <c r="A19" s="39" t="s">
        <v>82</v>
      </c>
      <c r="B19" s="36"/>
      <c r="C19" s="1093"/>
      <c r="D19" s="1094"/>
      <c r="E19" s="1094"/>
      <c r="F19" s="1095"/>
      <c r="G19" s="292"/>
      <c r="H19" s="36"/>
      <c r="I19" s="36">
        <f t="shared" si="1"/>
        <v>0</v>
      </c>
      <c r="J19" s="398"/>
      <c r="K19" s="410"/>
      <c r="L19" s="399">
        <f t="shared" si="2"/>
        <v>0</v>
      </c>
      <c r="M19" s="400">
        <f t="shared" si="3"/>
        <v>0</v>
      </c>
    </row>
    <row r="20" spans="1:13" x14ac:dyDescent="0.2">
      <c r="A20" s="39" t="s">
        <v>83</v>
      </c>
      <c r="B20" s="36"/>
      <c r="C20" s="1093"/>
      <c r="D20" s="1094"/>
      <c r="E20" s="1094"/>
      <c r="F20" s="1095"/>
      <c r="G20" s="292"/>
      <c r="H20" s="36"/>
      <c r="I20" s="36">
        <f t="shared" si="1"/>
        <v>0</v>
      </c>
      <c r="J20" s="398"/>
      <c r="K20" s="410"/>
      <c r="L20" s="399">
        <f t="shared" si="2"/>
        <v>0</v>
      </c>
      <c r="M20" s="400">
        <f t="shared" si="3"/>
        <v>0</v>
      </c>
    </row>
    <row r="21" spans="1:13" x14ac:dyDescent="0.2">
      <c r="A21" s="39" t="s">
        <v>84</v>
      </c>
      <c r="B21" s="36"/>
      <c r="C21" s="1093"/>
      <c r="D21" s="1094"/>
      <c r="E21" s="1094"/>
      <c r="F21" s="1095"/>
      <c r="G21" s="292"/>
      <c r="H21" s="36"/>
      <c r="I21" s="36">
        <f t="shared" si="1"/>
        <v>0</v>
      </c>
      <c r="J21" s="398"/>
      <c r="K21" s="410"/>
      <c r="L21" s="399">
        <f t="shared" si="2"/>
        <v>0</v>
      </c>
      <c r="M21" s="400">
        <f t="shared" si="3"/>
        <v>0</v>
      </c>
    </row>
    <row r="22" spans="1:13" x14ac:dyDescent="0.2">
      <c r="A22" s="39" t="s">
        <v>85</v>
      </c>
      <c r="B22" s="36"/>
      <c r="C22" s="1093"/>
      <c r="D22" s="1094"/>
      <c r="E22" s="1094"/>
      <c r="F22" s="1095"/>
      <c r="G22" s="292"/>
      <c r="H22" s="36"/>
      <c r="I22" s="36">
        <f t="shared" si="1"/>
        <v>0</v>
      </c>
      <c r="J22" s="398"/>
      <c r="K22" s="410"/>
      <c r="L22" s="399">
        <f t="shared" si="2"/>
        <v>0</v>
      </c>
      <c r="M22" s="400">
        <f t="shared" si="3"/>
        <v>0</v>
      </c>
    </row>
    <row r="23" spans="1:13" x14ac:dyDescent="0.2">
      <c r="A23" s="39" t="s">
        <v>86</v>
      </c>
      <c r="B23" s="36"/>
      <c r="C23" s="1093"/>
      <c r="D23" s="1094"/>
      <c r="E23" s="1094"/>
      <c r="F23" s="1095"/>
      <c r="G23" s="292"/>
      <c r="H23" s="36"/>
      <c r="I23" s="36">
        <f t="shared" si="1"/>
        <v>0</v>
      </c>
      <c r="J23" s="398"/>
      <c r="K23" s="410"/>
      <c r="L23" s="399">
        <f t="shared" si="2"/>
        <v>0</v>
      </c>
      <c r="M23" s="400">
        <f t="shared" si="3"/>
        <v>0</v>
      </c>
    </row>
    <row r="24" spans="1:13" ht="13.5" thickBot="1" x14ac:dyDescent="0.25">
      <c r="A24" s="41" t="s">
        <v>2</v>
      </c>
      <c r="B24" s="42">
        <f t="shared" ref="B24:M24" si="4">SUM(B11:B23)</f>
        <v>17074843</v>
      </c>
      <c r="C24" s="42">
        <f t="shared" si="4"/>
        <v>7453511</v>
      </c>
      <c r="D24" s="42">
        <f t="shared" si="4"/>
        <v>1057685</v>
      </c>
      <c r="E24" s="42">
        <f t="shared" si="4"/>
        <v>1764374</v>
      </c>
      <c r="F24" s="42">
        <f t="shared" si="4"/>
        <v>248221</v>
      </c>
      <c r="G24" s="42"/>
      <c r="H24" s="42">
        <f t="shared" si="4"/>
        <v>1801800</v>
      </c>
      <c r="I24" s="42">
        <f t="shared" si="4"/>
        <v>38326932</v>
      </c>
      <c r="J24" s="401">
        <f t="shared" si="4"/>
        <v>1577256</v>
      </c>
      <c r="K24" s="411">
        <f t="shared" si="4"/>
        <v>89352</v>
      </c>
      <c r="L24" s="402">
        <f t="shared" si="4"/>
        <v>1666608</v>
      </c>
      <c r="M24" s="403">
        <f t="shared" si="4"/>
        <v>36660324</v>
      </c>
    </row>
    <row r="61" spans="1:1" x14ac:dyDescent="0.2">
      <c r="A61" s="30" t="s">
        <v>64</v>
      </c>
    </row>
    <row r="62" spans="1:1" x14ac:dyDescent="0.2">
      <c r="A62" s="30" t="s">
        <v>0</v>
      </c>
    </row>
    <row r="65" spans="1:10" ht="15" x14ac:dyDescent="0.25">
      <c r="A65" s="31" t="s">
        <v>65</v>
      </c>
    </row>
    <row r="66" spans="1:10" x14ac:dyDescent="0.2">
      <c r="A66" s="30" t="s">
        <v>66</v>
      </c>
    </row>
    <row r="67" spans="1:10" ht="13.5" thickBot="1" x14ac:dyDescent="0.25"/>
    <row r="68" spans="1:10" x14ac:dyDescent="0.2">
      <c r="A68" s="1087" t="s">
        <v>67</v>
      </c>
      <c r="B68" s="1090" t="s">
        <v>68</v>
      </c>
      <c r="C68" s="1090"/>
      <c r="D68" s="1090"/>
      <c r="E68" s="1090"/>
      <c r="F68" s="1090" t="s">
        <v>68</v>
      </c>
      <c r="G68" s="1090"/>
      <c r="H68" s="1090"/>
      <c r="I68" s="366" t="s">
        <v>69</v>
      </c>
    </row>
    <row r="69" spans="1:10" ht="15.75" customHeight="1" x14ac:dyDescent="0.2">
      <c r="A69" s="1088"/>
      <c r="B69" s="1091" t="s">
        <v>3</v>
      </c>
      <c r="C69" s="1096" t="s">
        <v>48</v>
      </c>
      <c r="D69" s="1098" t="s">
        <v>58</v>
      </c>
      <c r="E69" s="1091" t="s">
        <v>10</v>
      </c>
      <c r="F69" s="304"/>
      <c r="G69" s="304"/>
      <c r="H69" s="304"/>
      <c r="I69" s="367"/>
    </row>
    <row r="70" spans="1:10" ht="13.5" thickBot="1" x14ac:dyDescent="0.25">
      <c r="A70" s="1089"/>
      <c r="B70" s="1092"/>
      <c r="C70" s="1097"/>
      <c r="D70" s="1099"/>
      <c r="E70" s="1092"/>
      <c r="F70" s="356" t="s">
        <v>72</v>
      </c>
      <c r="G70" s="356" t="s">
        <v>73</v>
      </c>
      <c r="H70" s="356" t="s">
        <v>2</v>
      </c>
      <c r="I70" s="357" t="s">
        <v>68</v>
      </c>
    </row>
    <row r="71" spans="1:10" x14ac:dyDescent="0.2">
      <c r="A71" s="358" t="s">
        <v>74</v>
      </c>
      <c r="B71" s="360">
        <v>2291501</v>
      </c>
      <c r="C71" s="360">
        <v>1435219</v>
      </c>
      <c r="D71" s="360">
        <v>227500</v>
      </c>
      <c r="E71" s="360">
        <f t="shared" ref="E71:E77" si="5">B71+C71+D71</f>
        <v>3954220</v>
      </c>
      <c r="F71" s="360">
        <v>208118</v>
      </c>
      <c r="G71" s="360">
        <v>12119</v>
      </c>
      <c r="H71" s="360">
        <f>F71</f>
        <v>208118</v>
      </c>
      <c r="I71" s="370">
        <f t="shared" ref="I71:I80" si="6">E71-H71</f>
        <v>3746102</v>
      </c>
      <c r="J71" s="13"/>
    </row>
    <row r="72" spans="1:10" x14ac:dyDescent="0.2">
      <c r="A72" s="361" t="s">
        <v>75</v>
      </c>
      <c r="B72" s="359">
        <v>2479525</v>
      </c>
      <c r="C72" s="359">
        <v>1462414</v>
      </c>
      <c r="D72" s="359">
        <v>212100</v>
      </c>
      <c r="E72" s="359">
        <f t="shared" si="5"/>
        <v>4154039</v>
      </c>
      <c r="F72" s="359">
        <v>213041</v>
      </c>
      <c r="G72" s="359">
        <v>12040</v>
      </c>
      <c r="H72" s="359">
        <f t="shared" ref="H72:H80" si="7">F72+G72</f>
        <v>225081</v>
      </c>
      <c r="I72" s="371">
        <f t="shared" si="6"/>
        <v>3928958</v>
      </c>
      <c r="J72" s="13"/>
    </row>
    <row r="73" spans="1:10" x14ac:dyDescent="0.2">
      <c r="A73" s="362" t="s">
        <v>76</v>
      </c>
      <c r="B73" s="359">
        <v>2156278</v>
      </c>
      <c r="C73" s="359">
        <v>1415273</v>
      </c>
      <c r="D73" s="359">
        <v>249200</v>
      </c>
      <c r="E73" s="359">
        <f t="shared" si="5"/>
        <v>3820751</v>
      </c>
      <c r="F73" s="359">
        <v>232833</v>
      </c>
      <c r="G73" s="359">
        <v>12285</v>
      </c>
      <c r="H73" s="359">
        <f t="shared" si="7"/>
        <v>245118</v>
      </c>
      <c r="I73" s="371">
        <f t="shared" si="6"/>
        <v>3575633</v>
      </c>
      <c r="J73" s="13"/>
    </row>
    <row r="74" spans="1:10" x14ac:dyDescent="0.2">
      <c r="A74" s="363" t="s">
        <v>77</v>
      </c>
      <c r="B74" s="359">
        <v>2184564</v>
      </c>
      <c r="C74" s="359">
        <v>1400976</v>
      </c>
      <c r="D74" s="359">
        <v>254800</v>
      </c>
      <c r="E74" s="359">
        <f t="shared" si="5"/>
        <v>3840340</v>
      </c>
      <c r="F74" s="359">
        <v>240102</v>
      </c>
      <c r="G74" s="359">
        <v>13123</v>
      </c>
      <c r="H74" s="359">
        <f t="shared" si="7"/>
        <v>253225</v>
      </c>
      <c r="I74" s="371">
        <f t="shared" si="6"/>
        <v>3587115</v>
      </c>
      <c r="J74" s="13"/>
    </row>
    <row r="75" spans="1:10" x14ac:dyDescent="0.2">
      <c r="A75" s="362" t="s">
        <v>78</v>
      </c>
      <c r="B75" s="359">
        <v>2695569</v>
      </c>
      <c r="C75" s="359">
        <v>1626744</v>
      </c>
      <c r="D75" s="359">
        <v>252700</v>
      </c>
      <c r="E75" s="359">
        <f t="shared" si="5"/>
        <v>4575013</v>
      </c>
      <c r="F75" s="359">
        <v>224246</v>
      </c>
      <c r="G75" s="359">
        <v>13507</v>
      </c>
      <c r="H75" s="359">
        <f t="shared" si="7"/>
        <v>237753</v>
      </c>
      <c r="I75" s="371">
        <f t="shared" si="6"/>
        <v>4337260</v>
      </c>
      <c r="J75" s="13"/>
    </row>
    <row r="76" spans="1:10" x14ac:dyDescent="0.2">
      <c r="A76" s="362" t="s">
        <v>79</v>
      </c>
      <c r="B76" s="359">
        <f>2658415+437</f>
        <v>2658852</v>
      </c>
      <c r="C76" s="359">
        <v>1585872</v>
      </c>
      <c r="D76" s="359">
        <v>289800</v>
      </c>
      <c r="E76" s="359">
        <f t="shared" si="5"/>
        <v>4534524</v>
      </c>
      <c r="F76" s="359">
        <v>228991</v>
      </c>
      <c r="G76" s="359">
        <v>13133</v>
      </c>
      <c r="H76" s="359">
        <f t="shared" si="7"/>
        <v>242124</v>
      </c>
      <c r="I76" s="371">
        <f t="shared" si="6"/>
        <v>4292400</v>
      </c>
      <c r="J76" s="13"/>
    </row>
    <row r="77" spans="1:10" x14ac:dyDescent="0.2">
      <c r="A77" s="362" t="s">
        <v>80</v>
      </c>
      <c r="B77" s="359">
        <f>2608554</f>
        <v>2608554</v>
      </c>
      <c r="C77" s="359">
        <v>1597293</v>
      </c>
      <c r="D77" s="359">
        <v>315700</v>
      </c>
      <c r="E77" s="359">
        <f t="shared" si="5"/>
        <v>4521547</v>
      </c>
      <c r="F77" s="359">
        <f>230807-882</f>
        <v>229925</v>
      </c>
      <c r="G77" s="359">
        <v>13145</v>
      </c>
      <c r="H77" s="359">
        <f t="shared" si="7"/>
        <v>243070</v>
      </c>
      <c r="I77" s="371">
        <f t="shared" si="6"/>
        <v>4278477</v>
      </c>
      <c r="J77" s="13"/>
    </row>
    <row r="78" spans="1:10" x14ac:dyDescent="0.2">
      <c r="A78" s="362" t="s">
        <v>81</v>
      </c>
      <c r="B78" s="359">
        <v>2384255</v>
      </c>
      <c r="C78" s="359">
        <v>1524515</v>
      </c>
      <c r="D78" s="359">
        <v>290500</v>
      </c>
      <c r="E78" s="359">
        <f>B78+C78+D78</f>
        <v>4199270</v>
      </c>
      <c r="F78" s="359">
        <f>238587-931</f>
        <v>237656</v>
      </c>
      <c r="G78" s="359">
        <v>13117</v>
      </c>
      <c r="H78" s="359">
        <f t="shared" si="7"/>
        <v>250773</v>
      </c>
      <c r="I78" s="371">
        <f t="shared" si="6"/>
        <v>3948497</v>
      </c>
      <c r="J78" s="13"/>
    </row>
    <row r="79" spans="1:10" x14ac:dyDescent="0.2">
      <c r="A79" s="362" t="s">
        <v>82</v>
      </c>
      <c r="B79" s="359">
        <v>2524739</v>
      </c>
      <c r="C79" s="359">
        <v>1491405</v>
      </c>
      <c r="D79" s="359">
        <v>327493</v>
      </c>
      <c r="E79" s="359">
        <f>B79+C79+D79</f>
        <v>4343637</v>
      </c>
      <c r="F79" s="359">
        <f>229148-811</f>
        <v>228337</v>
      </c>
      <c r="G79" s="364">
        <v>13481</v>
      </c>
      <c r="H79" s="359">
        <f t="shared" si="7"/>
        <v>241818</v>
      </c>
      <c r="I79" s="371">
        <f t="shared" si="6"/>
        <v>4101819</v>
      </c>
    </row>
    <row r="80" spans="1:10" x14ac:dyDescent="0.2">
      <c r="A80" s="362" t="s">
        <v>83</v>
      </c>
      <c r="B80" s="359">
        <v>2525670</v>
      </c>
      <c r="C80" s="359">
        <v>1510963</v>
      </c>
      <c r="D80" s="359">
        <v>368900</v>
      </c>
      <c r="E80" s="359">
        <f>B80+C80+D80</f>
        <v>4405533</v>
      </c>
      <c r="F80" s="359">
        <f>235183-811</f>
        <v>234372</v>
      </c>
      <c r="G80" s="364">
        <v>12917</v>
      </c>
      <c r="H80" s="359">
        <f t="shared" si="7"/>
        <v>247289</v>
      </c>
      <c r="I80" s="371">
        <f t="shared" si="6"/>
        <v>4158244</v>
      </c>
    </row>
    <row r="81" spans="1:12" ht="13.5" customHeight="1" x14ac:dyDescent="0.2">
      <c r="A81" s="362" t="s">
        <v>84</v>
      </c>
      <c r="B81" s="359"/>
      <c r="C81" s="1110"/>
      <c r="D81" s="1111"/>
      <c r="E81" s="1111"/>
      <c r="F81" s="1112"/>
      <c r="G81" s="364"/>
      <c r="H81" s="359"/>
      <c r="I81" s="371">
        <f>SUM(B81:H81)</f>
        <v>0</v>
      </c>
    </row>
    <row r="82" spans="1:12" x14ac:dyDescent="0.2">
      <c r="A82" s="362" t="s">
        <v>85</v>
      </c>
      <c r="B82" s="359"/>
      <c r="C82" s="1110"/>
      <c r="D82" s="1111"/>
      <c r="E82" s="1111"/>
      <c r="F82" s="1112"/>
      <c r="G82" s="364"/>
      <c r="H82" s="359"/>
      <c r="I82" s="371">
        <f>SUM(B82:H82)</f>
        <v>0</v>
      </c>
    </row>
    <row r="83" spans="1:12" ht="13.5" thickBot="1" x14ac:dyDescent="0.25">
      <c r="A83" s="372" t="s">
        <v>86</v>
      </c>
      <c r="B83" s="365"/>
      <c r="C83" s="1113"/>
      <c r="D83" s="1114"/>
      <c r="E83" s="1114"/>
      <c r="F83" s="1115"/>
      <c r="G83" s="373"/>
      <c r="H83" s="365"/>
      <c r="I83" s="374">
        <f>SUM(B83:H83)</f>
        <v>0</v>
      </c>
    </row>
    <row r="84" spans="1:12" ht="13.5" thickBot="1" x14ac:dyDescent="0.25">
      <c r="A84" s="368" t="s">
        <v>2</v>
      </c>
      <c r="B84" s="369">
        <f>SUM(B71:B83)</f>
        <v>24509507</v>
      </c>
      <c r="C84" s="369">
        <f>SUM(C71:C83)</f>
        <v>15050674</v>
      </c>
      <c r="D84" s="369">
        <f>SUM(D71:D83)</f>
        <v>2788693</v>
      </c>
      <c r="E84" s="369">
        <f>SUM(E71:E83)</f>
        <v>42348874</v>
      </c>
      <c r="F84" s="369">
        <f>SUM(F71:F83)</f>
        <v>2277621</v>
      </c>
      <c r="G84" s="369"/>
      <c r="H84" s="369">
        <f>SUM(H71:H83)</f>
        <v>2394369</v>
      </c>
      <c r="I84" s="369">
        <f>SUM(I71:I83)</f>
        <v>39954505</v>
      </c>
    </row>
    <row r="85" spans="1:12" x14ac:dyDescent="0.2">
      <c r="B85" s="355"/>
      <c r="C85" s="355"/>
      <c r="D85" s="355"/>
      <c r="E85" s="355"/>
      <c r="F85" s="355"/>
      <c r="G85" s="355"/>
      <c r="H85" s="355"/>
      <c r="I85" s="355"/>
    </row>
    <row r="86" spans="1:12" x14ac:dyDescent="0.2">
      <c r="B86" s="355"/>
      <c r="C86" s="355"/>
      <c r="D86" s="355"/>
      <c r="E86" s="355"/>
      <c r="F86" s="355"/>
      <c r="G86" s="355"/>
      <c r="H86" s="355"/>
      <c r="I86" s="355"/>
    </row>
    <row r="87" spans="1:12" x14ac:dyDescent="0.2">
      <c r="A87" s="43" t="s">
        <v>87</v>
      </c>
      <c r="B87" s="43"/>
      <c r="C87" s="43"/>
      <c r="D87" s="43"/>
      <c r="E87" s="43"/>
      <c r="F87" s="43"/>
      <c r="G87" s="43"/>
      <c r="H87" s="43" t="s">
        <v>88</v>
      </c>
      <c r="I87" s="43"/>
    </row>
    <row r="88" spans="1:12" x14ac:dyDescent="0.2">
      <c r="A88" s="43"/>
      <c r="B88" s="43"/>
      <c r="C88" s="43"/>
      <c r="D88" s="43"/>
      <c r="E88" s="43"/>
      <c r="F88" s="43"/>
      <c r="G88" s="43"/>
      <c r="H88" s="43"/>
      <c r="I88" s="43"/>
    </row>
    <row r="89" spans="1:12" x14ac:dyDescent="0.2">
      <c r="A89" s="43" t="s">
        <v>66</v>
      </c>
      <c r="B89" s="43"/>
      <c r="C89" s="43"/>
      <c r="D89" s="43"/>
      <c r="E89" s="43"/>
      <c r="F89" s="43"/>
      <c r="G89" s="43"/>
      <c r="H89" s="43"/>
      <c r="I89" s="43"/>
    </row>
    <row r="90" spans="1:12" x14ac:dyDescent="0.2">
      <c r="A90" s="43"/>
      <c r="B90" s="43"/>
      <c r="C90" s="43"/>
      <c r="D90" s="43"/>
      <c r="E90" s="43"/>
      <c r="F90" s="43"/>
      <c r="G90" s="43"/>
      <c r="H90" s="43"/>
      <c r="I90" s="43"/>
    </row>
    <row r="91" spans="1:12" x14ac:dyDescent="0.2">
      <c r="A91" s="43"/>
      <c r="B91" s="43"/>
      <c r="C91" s="43"/>
      <c r="D91" s="43"/>
      <c r="E91" s="43"/>
      <c r="F91" s="43"/>
      <c r="G91" s="43"/>
      <c r="H91" s="43"/>
      <c r="I91" s="43"/>
    </row>
    <row r="92" spans="1:12" ht="22.5" customHeight="1" x14ac:dyDescent="0.2">
      <c r="A92" s="1078" t="s">
        <v>89</v>
      </c>
      <c r="B92" s="1100" t="s">
        <v>90</v>
      </c>
      <c r="C92" s="1101"/>
      <c r="D92" s="1101"/>
      <c r="E92" s="375" t="s">
        <v>91</v>
      </c>
      <c r="F92" s="376" t="s">
        <v>73</v>
      </c>
      <c r="G92" s="1116" t="s">
        <v>92</v>
      </c>
    </row>
    <row r="93" spans="1:12" ht="15.75" customHeight="1" x14ac:dyDescent="0.2">
      <c r="A93" s="1079"/>
      <c r="B93" s="45" t="s">
        <v>6</v>
      </c>
      <c r="C93" s="45" t="s">
        <v>93</v>
      </c>
      <c r="D93" s="45" t="s">
        <v>2</v>
      </c>
      <c r="E93" s="45" t="s">
        <v>94</v>
      </c>
      <c r="F93" s="46" t="s">
        <v>95</v>
      </c>
      <c r="G93" s="1117"/>
      <c r="I93" s="43"/>
      <c r="J93" s="405"/>
    </row>
    <row r="94" spans="1:12" ht="11.25" customHeight="1" thickBot="1" x14ac:dyDescent="0.25">
      <c r="A94" s="1080"/>
      <c r="B94" s="48" t="s">
        <v>96</v>
      </c>
      <c r="C94" s="48" t="s">
        <v>97</v>
      </c>
      <c r="D94" s="48"/>
      <c r="E94" s="48" t="s">
        <v>62</v>
      </c>
      <c r="F94" s="49" t="s">
        <v>98</v>
      </c>
      <c r="G94" s="47"/>
      <c r="I94" s="43"/>
      <c r="J94" s="405"/>
    </row>
    <row r="95" spans="1:12" x14ac:dyDescent="0.2">
      <c r="A95" s="50" t="s">
        <v>74</v>
      </c>
      <c r="B95" s="51">
        <v>5070.4799999999996</v>
      </c>
      <c r="C95" s="52">
        <v>0</v>
      </c>
      <c r="D95" s="53">
        <f t="shared" ref="D95:D105" si="8">B95+C95</f>
        <v>5070.4799999999996</v>
      </c>
      <c r="E95" s="54">
        <f t="shared" ref="E95:E107" si="9">I71</f>
        <v>3746102</v>
      </c>
      <c r="F95" s="55">
        <f t="shared" ref="F95:F106" si="10">(B95+C95)/E95</f>
        <v>1.353534954467337E-3</v>
      </c>
      <c r="G95" s="56">
        <v>41275</v>
      </c>
      <c r="I95" s="43"/>
      <c r="J95" s="406">
        <v>1.4E-3</v>
      </c>
      <c r="L95" s="15"/>
    </row>
    <row r="96" spans="1:12" x14ac:dyDescent="0.2">
      <c r="A96" s="57" t="s">
        <v>75</v>
      </c>
      <c r="B96" s="51">
        <v>5084.63</v>
      </c>
      <c r="C96" s="53">
        <v>0</v>
      </c>
      <c r="D96" s="53">
        <f t="shared" si="8"/>
        <v>5084.63</v>
      </c>
      <c r="E96" s="54">
        <f t="shared" si="9"/>
        <v>3928958</v>
      </c>
      <c r="F96" s="55">
        <f t="shared" si="10"/>
        <v>1.294142110961736E-3</v>
      </c>
      <c r="G96" s="56">
        <v>41306</v>
      </c>
      <c r="I96" s="43"/>
      <c r="J96" s="406">
        <v>1.2999999999999999E-3</v>
      </c>
    </row>
    <row r="97" spans="1:12" x14ac:dyDescent="0.2">
      <c r="A97" s="50" t="s">
        <v>76</v>
      </c>
      <c r="B97" s="51">
        <v>5616.94</v>
      </c>
      <c r="C97" s="53">
        <v>0</v>
      </c>
      <c r="D97" s="53">
        <f t="shared" si="8"/>
        <v>5616.94</v>
      </c>
      <c r="E97" s="54">
        <f t="shared" si="9"/>
        <v>3575633</v>
      </c>
      <c r="F97" s="55">
        <f t="shared" si="10"/>
        <v>1.5708938808876637E-3</v>
      </c>
      <c r="G97" s="56">
        <v>41334</v>
      </c>
      <c r="I97" s="43"/>
      <c r="J97" s="406">
        <v>1.6000000000000001E-3</v>
      </c>
      <c r="K97" s="412"/>
      <c r="L97" s="404"/>
    </row>
    <row r="98" spans="1:12" x14ac:dyDescent="0.2">
      <c r="A98" s="50" t="s">
        <v>77</v>
      </c>
      <c r="B98" s="51">
        <v>6421.33</v>
      </c>
      <c r="C98" s="53">
        <v>0</v>
      </c>
      <c r="D98" s="53">
        <f t="shared" si="8"/>
        <v>6421.33</v>
      </c>
      <c r="E98" s="54">
        <f t="shared" si="9"/>
        <v>3587115</v>
      </c>
      <c r="F98" s="55">
        <f t="shared" si="10"/>
        <v>1.7901098793877532E-3</v>
      </c>
      <c r="G98" s="56">
        <v>41365</v>
      </c>
      <c r="I98" s="43"/>
      <c r="J98" s="406">
        <v>1.8E-3</v>
      </c>
      <c r="K98" s="412"/>
      <c r="L98" s="404"/>
    </row>
    <row r="99" spans="1:12" x14ac:dyDescent="0.2">
      <c r="A99" s="50" t="s">
        <v>78</v>
      </c>
      <c r="B99" s="51">
        <v>6230.86</v>
      </c>
      <c r="C99" s="53">
        <v>0</v>
      </c>
      <c r="D99" s="53">
        <f t="shared" si="8"/>
        <v>6230.86</v>
      </c>
      <c r="E99" s="54">
        <f t="shared" si="9"/>
        <v>4337260</v>
      </c>
      <c r="F99" s="55">
        <f t="shared" si="10"/>
        <v>1.4365889985843597E-3</v>
      </c>
      <c r="G99" s="56">
        <v>41395</v>
      </c>
      <c r="I99" s="43"/>
      <c r="J99" s="406">
        <v>1.4E-3</v>
      </c>
      <c r="K99" s="412"/>
      <c r="L99" s="404"/>
    </row>
    <row r="100" spans="1:12" x14ac:dyDescent="0.2">
      <c r="A100" s="50" t="s">
        <v>79</v>
      </c>
      <c r="B100" s="51">
        <v>5658.91</v>
      </c>
      <c r="C100" s="53">
        <v>0</v>
      </c>
      <c r="D100" s="53">
        <f t="shared" si="8"/>
        <v>5658.91</v>
      </c>
      <c r="E100" s="54">
        <f t="shared" si="9"/>
        <v>4292400</v>
      </c>
      <c r="F100" s="55">
        <f t="shared" si="10"/>
        <v>1.3183556984437609E-3</v>
      </c>
      <c r="G100" s="56">
        <v>41426</v>
      </c>
      <c r="I100" s="43"/>
      <c r="J100" s="406">
        <v>1.2999999999999999E-3</v>
      </c>
      <c r="K100" s="412"/>
      <c r="L100" s="404"/>
    </row>
    <row r="101" spans="1:12" x14ac:dyDescent="0.2">
      <c r="A101" s="50" t="s">
        <v>80</v>
      </c>
      <c r="B101" s="51">
        <f>E240</f>
        <v>5388.1873794999974</v>
      </c>
      <c r="C101" s="53">
        <v>0</v>
      </c>
      <c r="D101" s="53">
        <f t="shared" si="8"/>
        <v>5388.1873794999974</v>
      </c>
      <c r="E101" s="54">
        <f t="shared" si="9"/>
        <v>4278477</v>
      </c>
      <c r="F101" s="55">
        <f t="shared" si="10"/>
        <v>1.2593704207127905E-3</v>
      </c>
      <c r="G101" s="56">
        <v>41456</v>
      </c>
      <c r="I101" s="43"/>
      <c r="J101" s="406">
        <v>1.2999999999999999E-3</v>
      </c>
      <c r="K101" s="412"/>
      <c r="L101" s="404"/>
    </row>
    <row r="102" spans="1:12" x14ac:dyDescent="0.2">
      <c r="A102" s="50" t="s">
        <v>81</v>
      </c>
      <c r="B102" s="51">
        <f>O240</f>
        <v>5378.6099320000003</v>
      </c>
      <c r="C102" s="53">
        <v>0</v>
      </c>
      <c r="D102" s="53">
        <f t="shared" si="8"/>
        <v>5378.6099320000003</v>
      </c>
      <c r="E102" s="54">
        <f t="shared" si="9"/>
        <v>3948497</v>
      </c>
      <c r="F102" s="55">
        <f t="shared" si="10"/>
        <v>1.3621917230784272E-3</v>
      </c>
      <c r="G102" s="56">
        <v>41487</v>
      </c>
      <c r="I102" s="43"/>
      <c r="J102" s="406">
        <v>1.4E-3</v>
      </c>
      <c r="K102" s="412"/>
      <c r="L102" s="404"/>
    </row>
    <row r="103" spans="1:12" x14ac:dyDescent="0.2">
      <c r="A103" s="50" t="s">
        <v>82</v>
      </c>
      <c r="B103" s="496">
        <f>E361</f>
        <v>2112.0868722499999</v>
      </c>
      <c r="C103" s="497">
        <v>0</v>
      </c>
      <c r="D103" s="497">
        <f t="shared" si="8"/>
        <v>2112.0868722499999</v>
      </c>
      <c r="E103" s="54">
        <f t="shared" si="9"/>
        <v>4101819</v>
      </c>
      <c r="F103" s="55">
        <f t="shared" si="10"/>
        <v>5.1491469327388654E-4</v>
      </c>
      <c r="G103" s="56">
        <v>41518</v>
      </c>
      <c r="I103" s="43"/>
      <c r="J103" s="406">
        <v>1.4E-3</v>
      </c>
    </row>
    <row r="104" spans="1:12" x14ac:dyDescent="0.2">
      <c r="A104" s="50" t="s">
        <v>83</v>
      </c>
      <c r="B104" s="496">
        <f>E482</f>
        <v>0</v>
      </c>
      <c r="C104" s="53">
        <v>0</v>
      </c>
      <c r="D104" s="53">
        <f t="shared" si="8"/>
        <v>0</v>
      </c>
      <c r="E104" s="54">
        <f>I80</f>
        <v>4158244</v>
      </c>
      <c r="F104" s="55">
        <f t="shared" si="10"/>
        <v>0</v>
      </c>
      <c r="G104" s="56">
        <v>41548</v>
      </c>
      <c r="I104" s="43"/>
      <c r="J104" s="406">
        <v>1.2999999999999999E-3</v>
      </c>
    </row>
    <row r="105" spans="1:12" x14ac:dyDescent="0.2">
      <c r="A105" s="50" t="s">
        <v>84</v>
      </c>
      <c r="B105" s="51"/>
      <c r="C105" s="53">
        <v>0</v>
      </c>
      <c r="D105" s="53">
        <f t="shared" si="8"/>
        <v>0</v>
      </c>
      <c r="E105" s="54">
        <f t="shared" si="9"/>
        <v>0</v>
      </c>
      <c r="F105" s="55" t="e">
        <f t="shared" si="10"/>
        <v>#DIV/0!</v>
      </c>
      <c r="G105" s="56">
        <v>41579</v>
      </c>
      <c r="I105" s="43"/>
      <c r="J105" s="405"/>
    </row>
    <row r="106" spans="1:12" x14ac:dyDescent="0.2">
      <c r="A106" s="50" t="s">
        <v>85</v>
      </c>
      <c r="B106" s="51"/>
      <c r="C106" s="53">
        <v>0</v>
      </c>
      <c r="D106" s="53">
        <f>B106+C106</f>
        <v>0</v>
      </c>
      <c r="E106" s="54">
        <f t="shared" si="9"/>
        <v>0</v>
      </c>
      <c r="F106" s="55" t="e">
        <f t="shared" si="10"/>
        <v>#DIV/0!</v>
      </c>
      <c r="G106" s="56">
        <v>41609</v>
      </c>
      <c r="I106" s="43"/>
      <c r="J106" s="405"/>
    </row>
    <row r="107" spans="1:12" x14ac:dyDescent="0.2">
      <c r="A107" s="50" t="s">
        <v>86</v>
      </c>
      <c r="B107" s="51"/>
      <c r="C107" s="53">
        <v>0</v>
      </c>
      <c r="D107" s="53">
        <f>B107+C107</f>
        <v>0</v>
      </c>
      <c r="E107" s="54">
        <f t="shared" si="9"/>
        <v>0</v>
      </c>
      <c r="F107" s="55" t="e">
        <f>(B107+C107)/E107</f>
        <v>#DIV/0!</v>
      </c>
      <c r="G107" s="56">
        <v>41640</v>
      </c>
      <c r="I107" s="43"/>
      <c r="J107" s="405"/>
    </row>
    <row r="108" spans="1:12" x14ac:dyDescent="0.2">
      <c r="I108" s="43"/>
      <c r="J108" s="405"/>
    </row>
    <row r="109" spans="1:12" x14ac:dyDescent="0.2">
      <c r="I109" s="43"/>
      <c r="J109" s="405"/>
    </row>
    <row r="110" spans="1:12" x14ac:dyDescent="0.2">
      <c r="I110" s="43"/>
      <c r="J110" s="405"/>
    </row>
    <row r="111" spans="1:12" x14ac:dyDescent="0.2">
      <c r="I111" s="43"/>
      <c r="J111" s="405"/>
    </row>
    <row r="112" spans="1:12" x14ac:dyDescent="0.2">
      <c r="I112" s="43"/>
      <c r="J112" s="405"/>
    </row>
    <row r="113" spans="1:19" x14ac:dyDescent="0.2">
      <c r="I113" s="43"/>
      <c r="J113" s="405"/>
    </row>
    <row r="114" spans="1:19" x14ac:dyDescent="0.2">
      <c r="I114" s="43"/>
      <c r="J114" s="405"/>
      <c r="K114" s="412"/>
      <c r="L114" s="404"/>
    </row>
    <row r="115" spans="1:19" x14ac:dyDescent="0.2">
      <c r="I115" s="43"/>
      <c r="J115" s="405"/>
      <c r="K115" s="412"/>
      <c r="L115" s="404"/>
    </row>
    <row r="116" spans="1:19" x14ac:dyDescent="0.2">
      <c r="I116" s="43"/>
      <c r="J116" s="405"/>
      <c r="K116" s="412"/>
      <c r="L116" s="404"/>
    </row>
    <row r="117" spans="1:19" x14ac:dyDescent="0.2">
      <c r="I117" s="43"/>
      <c r="J117" s="405"/>
      <c r="K117" s="412"/>
      <c r="L117" s="404"/>
    </row>
    <row r="118" spans="1:19" x14ac:dyDescent="0.2">
      <c r="I118" s="43"/>
      <c r="J118" s="405"/>
      <c r="K118" s="412"/>
      <c r="L118" s="404"/>
    </row>
    <row r="119" spans="1:19" x14ac:dyDescent="0.2">
      <c r="I119" s="43"/>
      <c r="J119" s="405"/>
      <c r="K119" s="412"/>
      <c r="L119" s="404"/>
    </row>
    <row r="120" spans="1:19" x14ac:dyDescent="0.2">
      <c r="I120" s="43"/>
      <c r="J120" s="405"/>
      <c r="K120" s="412"/>
      <c r="L120" s="404"/>
    </row>
    <row r="121" spans="1:19" x14ac:dyDescent="0.2">
      <c r="I121" s="43"/>
      <c r="J121" s="405"/>
      <c r="K121" s="412"/>
      <c r="L121" s="404"/>
    </row>
    <row r="122" spans="1:19" x14ac:dyDescent="0.2">
      <c r="I122" s="43"/>
      <c r="J122" s="405"/>
      <c r="K122" s="412"/>
      <c r="L122" s="404"/>
    </row>
    <row r="123" spans="1:19" ht="15" x14ac:dyDescent="0.35">
      <c r="A123" s="422" t="s">
        <v>225</v>
      </c>
      <c r="I123" s="43"/>
      <c r="J123" s="405"/>
      <c r="K123" s="422" t="s">
        <v>224</v>
      </c>
      <c r="L123" s="404"/>
    </row>
    <row r="124" spans="1:19" x14ac:dyDescent="0.2">
      <c r="A124" s="295" t="s">
        <v>208</v>
      </c>
      <c r="B124" s="296"/>
      <c r="C124" s="296"/>
      <c r="D124" s="296"/>
      <c r="I124" s="43"/>
      <c r="J124" s="405"/>
      <c r="K124" s="295" t="s">
        <v>226</v>
      </c>
      <c r="L124" s="296"/>
      <c r="M124" s="296"/>
      <c r="N124" s="296"/>
      <c r="O124" s="30"/>
      <c r="P124" s="30"/>
      <c r="S124" s="43"/>
    </row>
    <row r="125" spans="1:19" ht="15" x14ac:dyDescent="0.25">
      <c r="A125" s="297" t="s">
        <v>202</v>
      </c>
      <c r="B125" s="298"/>
      <c r="C125" s="298"/>
      <c r="D125" s="298"/>
      <c r="E125" s="294"/>
      <c r="I125" s="43"/>
      <c r="J125" s="405"/>
      <c r="K125" s="297" t="s">
        <v>202</v>
      </c>
      <c r="L125" s="298"/>
      <c r="M125" s="298"/>
      <c r="N125" s="298"/>
      <c r="O125" s="294"/>
      <c r="P125" s="30"/>
      <c r="S125" s="43"/>
    </row>
    <row r="126" spans="1:19" ht="15" customHeight="1" x14ac:dyDescent="0.25">
      <c r="A126" s="1074" t="s">
        <v>3</v>
      </c>
      <c r="B126" s="1075"/>
      <c r="C126" s="1118" t="s">
        <v>61</v>
      </c>
      <c r="D126" s="1118"/>
      <c r="E126" s="294"/>
      <c r="K126" s="1074" t="s">
        <v>3</v>
      </c>
      <c r="L126" s="1075"/>
      <c r="M126" s="1118" t="s">
        <v>131</v>
      </c>
      <c r="N126" s="1118"/>
      <c r="O126" s="294"/>
      <c r="P126" s="30"/>
    </row>
    <row r="127" spans="1:19" ht="15" x14ac:dyDescent="0.25">
      <c r="A127" s="1076"/>
      <c r="B127" s="1077"/>
      <c r="C127" s="299" t="s">
        <v>135</v>
      </c>
      <c r="D127" s="299" t="s">
        <v>136</v>
      </c>
      <c r="E127" s="294"/>
      <c r="K127" s="1076"/>
      <c r="L127" s="1077"/>
      <c r="M127" s="299" t="s">
        <v>135</v>
      </c>
      <c r="N127" s="299" t="s">
        <v>136</v>
      </c>
      <c r="O127" s="294"/>
      <c r="P127" s="30"/>
    </row>
    <row r="128" spans="1:19" ht="15" x14ac:dyDescent="0.25">
      <c r="A128" s="300" t="s">
        <v>137</v>
      </c>
      <c r="B128" s="301"/>
      <c r="C128" s="350">
        <v>4.7107999999999999</v>
      </c>
      <c r="D128" s="379"/>
      <c r="K128" s="300" t="s">
        <v>137</v>
      </c>
      <c r="L128" s="301"/>
      <c r="M128" s="350">
        <v>4.0970000000000004</v>
      </c>
      <c r="N128" s="379"/>
      <c r="O128" s="294"/>
      <c r="P128" s="30"/>
    </row>
    <row r="129" spans="1:16" ht="15" x14ac:dyDescent="0.25">
      <c r="A129" s="302" t="s">
        <v>138</v>
      </c>
      <c r="B129" s="298"/>
      <c r="C129" s="303">
        <v>0.7228</v>
      </c>
      <c r="D129" s="380"/>
      <c r="K129" s="302" t="s">
        <v>138</v>
      </c>
      <c r="L129" s="298"/>
      <c r="M129" s="303">
        <v>0.78290000000000004</v>
      </c>
      <c r="N129" s="380"/>
      <c r="O129" s="294"/>
      <c r="P129" s="30"/>
    </row>
    <row r="130" spans="1:16" ht="15" x14ac:dyDescent="0.25">
      <c r="A130" s="302" t="s">
        <v>139</v>
      </c>
      <c r="B130" s="298"/>
      <c r="C130" s="303">
        <v>0.68610000000000004</v>
      </c>
      <c r="D130" s="380"/>
      <c r="K130" s="302" t="s">
        <v>139</v>
      </c>
      <c r="L130" s="298"/>
      <c r="M130" s="303">
        <v>0.62290000000000001</v>
      </c>
      <c r="N130" s="380"/>
      <c r="O130" s="294"/>
      <c r="P130" s="30"/>
    </row>
    <row r="131" spans="1:16" ht="15" x14ac:dyDescent="0.25">
      <c r="A131" s="302" t="s">
        <v>140</v>
      </c>
      <c r="B131" s="298"/>
      <c r="C131" s="303">
        <v>0.84489999999999998</v>
      </c>
      <c r="D131" s="380"/>
      <c r="K131" s="302" t="s">
        <v>140</v>
      </c>
      <c r="L131" s="298"/>
      <c r="M131" s="303">
        <v>0.84489999999999998</v>
      </c>
      <c r="N131" s="380"/>
      <c r="O131" s="30"/>
      <c r="P131" s="30"/>
    </row>
    <row r="132" spans="1:16" ht="15" x14ac:dyDescent="0.25">
      <c r="A132" s="302" t="s">
        <v>141</v>
      </c>
      <c r="B132" s="298"/>
      <c r="C132" s="303">
        <v>0.7732</v>
      </c>
      <c r="D132" s="380"/>
      <c r="K132" s="302" t="s">
        <v>141</v>
      </c>
      <c r="L132" s="298"/>
      <c r="M132" s="303">
        <v>0.7732</v>
      </c>
      <c r="N132" s="380"/>
      <c r="O132" s="30"/>
      <c r="P132" s="30"/>
    </row>
    <row r="133" spans="1:16" ht="15" x14ac:dyDescent="0.25">
      <c r="A133" s="302" t="s">
        <v>142</v>
      </c>
      <c r="B133" s="298"/>
      <c r="C133" s="381">
        <v>0.45689999999999997</v>
      </c>
      <c r="D133" s="382">
        <v>5</v>
      </c>
      <c r="K133" s="302" t="s">
        <v>142</v>
      </c>
      <c r="L133" s="298"/>
      <c r="M133" s="381">
        <v>0.45689999999999997</v>
      </c>
      <c r="N133" s="382">
        <v>5</v>
      </c>
      <c r="O133" s="30"/>
      <c r="P133" s="30"/>
    </row>
    <row r="134" spans="1:16" s="78" customFormat="1" ht="18" customHeight="1" x14ac:dyDescent="0.25">
      <c r="A134" s="383" t="s">
        <v>2</v>
      </c>
      <c r="B134" s="384"/>
      <c r="C134" s="385">
        <f>SUM(C128:C133)</f>
        <v>8.1946999999999992</v>
      </c>
      <c r="D134" s="386">
        <f>SUM(D128:D133)</f>
        <v>5</v>
      </c>
      <c r="J134" s="342"/>
      <c r="K134" s="383" t="s">
        <v>2</v>
      </c>
      <c r="L134" s="384"/>
      <c r="M134" s="385">
        <f>SUM(M128:M133)</f>
        <v>7.5778000000000008</v>
      </c>
      <c r="N134" s="386">
        <f>SUM(N128:N133)</f>
        <v>5</v>
      </c>
    </row>
    <row r="135" spans="1:16" x14ac:dyDescent="0.2">
      <c r="A135" s="296"/>
      <c r="B135" s="296"/>
      <c r="C135" s="296"/>
      <c r="D135" s="296"/>
      <c r="K135" s="296"/>
      <c r="L135" s="296"/>
      <c r="M135" s="296"/>
      <c r="N135" s="296"/>
      <c r="O135" s="30"/>
      <c r="P135" s="30"/>
    </row>
    <row r="136" spans="1:16" x14ac:dyDescent="0.2">
      <c r="A136" s="296"/>
      <c r="B136" s="296"/>
      <c r="C136" s="296"/>
      <c r="D136" s="296"/>
      <c r="K136" s="296"/>
      <c r="L136" s="296"/>
      <c r="M136" s="296"/>
      <c r="N136" s="296"/>
      <c r="O136" s="30"/>
      <c r="P136" s="30"/>
    </row>
    <row r="137" spans="1:16" x14ac:dyDescent="0.2">
      <c r="A137" s="296"/>
      <c r="B137" s="296"/>
      <c r="C137" s="296"/>
      <c r="D137" s="296"/>
      <c r="K137" s="296"/>
      <c r="L137" s="296"/>
      <c r="M137" s="296"/>
      <c r="N137" s="296"/>
      <c r="O137" s="30"/>
      <c r="P137" s="30"/>
    </row>
    <row r="138" spans="1:16" x14ac:dyDescent="0.2">
      <c r="A138" s="296"/>
      <c r="B138" s="296"/>
      <c r="C138" s="296"/>
      <c r="D138" s="296"/>
      <c r="K138" s="296"/>
      <c r="L138" s="296"/>
      <c r="M138" s="296"/>
      <c r="N138" s="296"/>
      <c r="O138" s="30"/>
      <c r="P138" s="30"/>
    </row>
    <row r="139" spans="1:16" ht="53.25" customHeight="1" x14ac:dyDescent="0.2">
      <c r="A139" s="44" t="s">
        <v>203</v>
      </c>
      <c r="B139" s="306" t="s">
        <v>68</v>
      </c>
      <c r="C139" s="44" t="s">
        <v>204</v>
      </c>
      <c r="D139" s="44" t="s">
        <v>205</v>
      </c>
      <c r="E139" s="307" t="s">
        <v>206</v>
      </c>
      <c r="K139" s="44" t="s">
        <v>203</v>
      </c>
      <c r="L139" s="306" t="s">
        <v>68</v>
      </c>
      <c r="M139" s="44" t="s">
        <v>204</v>
      </c>
      <c r="N139" s="44" t="s">
        <v>205</v>
      </c>
      <c r="O139" s="307" t="s">
        <v>206</v>
      </c>
      <c r="P139" s="30"/>
    </row>
    <row r="140" spans="1:16" x14ac:dyDescent="0.2">
      <c r="A140" s="304">
        <v>1</v>
      </c>
      <c r="B140" s="304">
        <v>1</v>
      </c>
      <c r="C140" s="304">
        <v>1</v>
      </c>
      <c r="D140" s="308">
        <v>0.25</v>
      </c>
      <c r="E140" s="309">
        <f>(($C$134*B140)+($D$134*C140))*(1-D140)*5%</f>
        <v>0.49480125000000003</v>
      </c>
      <c r="K140" s="304">
        <v>1</v>
      </c>
      <c r="L140" s="304">
        <v>1</v>
      </c>
      <c r="M140" s="304">
        <v>1</v>
      </c>
      <c r="N140" s="308">
        <v>0.25</v>
      </c>
      <c r="O140" s="309">
        <f>(($C$134*L140)+($D$134*M141))*(1-N140)*5%</f>
        <v>0.49480125000000003</v>
      </c>
      <c r="P140" s="30"/>
    </row>
    <row r="141" spans="1:16" x14ac:dyDescent="0.2">
      <c r="A141" s="304">
        <v>2</v>
      </c>
      <c r="B141" s="304">
        <v>2</v>
      </c>
      <c r="C141" s="304">
        <v>1</v>
      </c>
      <c r="D141" s="308">
        <v>0.25</v>
      </c>
      <c r="E141" s="309">
        <f>(($C$134*B141)+($D$134*C141))*(1-D141)*5%</f>
        <v>0.80210250000000005</v>
      </c>
      <c r="K141" s="304">
        <v>2</v>
      </c>
      <c r="L141" s="304">
        <v>4</v>
      </c>
      <c r="M141" s="304">
        <v>1</v>
      </c>
      <c r="N141" s="308">
        <v>0.25</v>
      </c>
      <c r="O141" s="309">
        <f t="shared" ref="O141:O204" si="11">(($C$134*L141)+($D$134*M142))*(1-N141)*5%</f>
        <v>1.6042050000000001</v>
      </c>
      <c r="P141" s="30"/>
    </row>
    <row r="142" spans="1:16" x14ac:dyDescent="0.2">
      <c r="A142" s="304">
        <v>3</v>
      </c>
      <c r="B142" s="304">
        <v>6</v>
      </c>
      <c r="C142" s="304">
        <v>2</v>
      </c>
      <c r="D142" s="308">
        <v>0.25</v>
      </c>
      <c r="E142" s="309">
        <f>(($C$134*B142)+($D$134*C142))*(1-D142)*5%</f>
        <v>2.2188075</v>
      </c>
      <c r="K142" s="304">
        <v>3</v>
      </c>
      <c r="L142" s="304">
        <v>15</v>
      </c>
      <c r="M142" s="304">
        <v>2</v>
      </c>
      <c r="N142" s="308">
        <v>0.25</v>
      </c>
      <c r="O142" s="309">
        <f t="shared" si="11"/>
        <v>5.5470187500000003</v>
      </c>
      <c r="P142" s="30"/>
    </row>
    <row r="143" spans="1:16" x14ac:dyDescent="0.2">
      <c r="A143" s="304">
        <v>4</v>
      </c>
      <c r="B143" s="304">
        <v>12</v>
      </c>
      <c r="C143" s="304">
        <v>3</v>
      </c>
      <c r="D143" s="308">
        <v>0.25</v>
      </c>
      <c r="E143" s="309">
        <f t="shared" ref="E143:E206" si="12">(($C$134*B143)+($D$134*C143))*(1-D143)*5%</f>
        <v>4.2501150000000001</v>
      </c>
      <c r="K143" s="304">
        <v>4</v>
      </c>
      <c r="L143" s="304">
        <v>4</v>
      </c>
      <c r="M143" s="304">
        <v>5</v>
      </c>
      <c r="N143" s="308">
        <v>0.25</v>
      </c>
      <c r="O143" s="309">
        <f t="shared" si="11"/>
        <v>1.4167050000000001</v>
      </c>
      <c r="P143" s="30"/>
    </row>
    <row r="144" spans="1:16" x14ac:dyDescent="0.2">
      <c r="A144" s="304">
        <v>5</v>
      </c>
      <c r="B144" s="304">
        <v>15</v>
      </c>
      <c r="C144" s="304">
        <v>3</v>
      </c>
      <c r="D144" s="308">
        <v>0.25</v>
      </c>
      <c r="E144" s="309">
        <f t="shared" si="12"/>
        <v>5.1720187500000003</v>
      </c>
      <c r="K144" s="304">
        <v>5</v>
      </c>
      <c r="L144" s="304">
        <v>10</v>
      </c>
      <c r="M144" s="304">
        <v>1</v>
      </c>
      <c r="N144" s="308">
        <v>0.25</v>
      </c>
      <c r="O144" s="309">
        <f t="shared" si="11"/>
        <v>3.4480124999999995</v>
      </c>
      <c r="P144" s="30"/>
    </row>
    <row r="145" spans="1:16" x14ac:dyDescent="0.2">
      <c r="A145" s="304">
        <v>6</v>
      </c>
      <c r="B145" s="304">
        <v>12</v>
      </c>
      <c r="C145" s="304">
        <v>2</v>
      </c>
      <c r="D145" s="308">
        <v>0.25</v>
      </c>
      <c r="E145" s="309">
        <f t="shared" si="12"/>
        <v>4.0626150000000001</v>
      </c>
      <c r="K145" s="304">
        <v>6</v>
      </c>
      <c r="L145" s="304">
        <v>24</v>
      </c>
      <c r="M145" s="304">
        <v>2</v>
      </c>
      <c r="N145" s="308">
        <v>0.25</v>
      </c>
      <c r="O145" s="309">
        <f t="shared" si="11"/>
        <v>8.1252300000000002</v>
      </c>
      <c r="P145" s="30"/>
    </row>
    <row r="146" spans="1:16" x14ac:dyDescent="0.2">
      <c r="A146" s="304">
        <v>7</v>
      </c>
      <c r="B146" s="304">
        <v>42</v>
      </c>
      <c r="C146" s="304">
        <v>6</v>
      </c>
      <c r="D146" s="308">
        <v>0.25</v>
      </c>
      <c r="E146" s="309">
        <f t="shared" si="12"/>
        <v>14.0316525</v>
      </c>
      <c r="K146" s="304">
        <v>7</v>
      </c>
      <c r="L146" s="304">
        <v>21</v>
      </c>
      <c r="M146" s="304">
        <v>4</v>
      </c>
      <c r="N146" s="308">
        <v>0.25</v>
      </c>
      <c r="O146" s="309">
        <f t="shared" si="11"/>
        <v>7.0158262499999999</v>
      </c>
      <c r="P146" s="30"/>
    </row>
    <row r="147" spans="1:16" x14ac:dyDescent="0.2">
      <c r="A147" s="304">
        <v>8</v>
      </c>
      <c r="B147" s="304">
        <v>16</v>
      </c>
      <c r="C147" s="304">
        <v>2</v>
      </c>
      <c r="D147" s="308">
        <v>0.25</v>
      </c>
      <c r="E147" s="309">
        <f t="shared" si="12"/>
        <v>5.2918200000000004</v>
      </c>
      <c r="K147" s="304">
        <v>8</v>
      </c>
      <c r="L147" s="304">
        <v>16</v>
      </c>
      <c r="M147" s="304">
        <v>3</v>
      </c>
      <c r="N147" s="308">
        <v>0.25</v>
      </c>
      <c r="O147" s="309">
        <f t="shared" si="11"/>
        <v>5.2918200000000004</v>
      </c>
      <c r="P147" s="30"/>
    </row>
    <row r="148" spans="1:16" x14ac:dyDescent="0.2">
      <c r="A148" s="304">
        <v>9</v>
      </c>
      <c r="B148" s="304">
        <v>27</v>
      </c>
      <c r="C148" s="304">
        <v>3</v>
      </c>
      <c r="D148" s="308">
        <v>0.25</v>
      </c>
      <c r="E148" s="309">
        <f t="shared" si="12"/>
        <v>8.8596337499999986</v>
      </c>
      <c r="K148" s="304">
        <v>9</v>
      </c>
      <c r="L148" s="304">
        <v>45</v>
      </c>
      <c r="M148" s="304">
        <v>2</v>
      </c>
      <c r="N148" s="308">
        <v>0.25</v>
      </c>
      <c r="O148" s="309">
        <f t="shared" si="11"/>
        <v>14.766056249999998</v>
      </c>
      <c r="P148" s="30"/>
    </row>
    <row r="149" spans="1:16" x14ac:dyDescent="0.2">
      <c r="A149" s="304">
        <v>10</v>
      </c>
      <c r="B149" s="304">
        <v>40</v>
      </c>
      <c r="C149" s="304">
        <v>4</v>
      </c>
      <c r="D149" s="308">
        <v>0.25</v>
      </c>
      <c r="E149" s="309">
        <f t="shared" si="12"/>
        <v>13.042049999999998</v>
      </c>
      <c r="K149" s="304">
        <v>10</v>
      </c>
      <c r="L149" s="304">
        <v>30</v>
      </c>
      <c r="M149" s="304">
        <v>5</v>
      </c>
      <c r="N149" s="308">
        <v>0.25</v>
      </c>
      <c r="O149" s="309">
        <f t="shared" si="11"/>
        <v>9.7815375000000007</v>
      </c>
      <c r="P149" s="30"/>
    </row>
    <row r="150" spans="1:16" x14ac:dyDescent="0.2">
      <c r="A150" s="304">
        <v>11</v>
      </c>
      <c r="B150" s="304">
        <v>33</v>
      </c>
      <c r="C150" s="304">
        <v>3</v>
      </c>
      <c r="D150" s="308">
        <v>0.25</v>
      </c>
      <c r="E150" s="309">
        <f t="shared" si="12"/>
        <v>10.703441250000001</v>
      </c>
      <c r="K150" s="304">
        <v>11</v>
      </c>
      <c r="L150" s="304">
        <v>66</v>
      </c>
      <c r="M150" s="304">
        <v>3</v>
      </c>
      <c r="N150" s="308">
        <v>0.25</v>
      </c>
      <c r="O150" s="309">
        <f t="shared" si="11"/>
        <v>21.406882500000002</v>
      </c>
      <c r="P150" s="30"/>
    </row>
    <row r="151" spans="1:16" x14ac:dyDescent="0.2">
      <c r="A151" s="304">
        <v>12</v>
      </c>
      <c r="B151" s="304">
        <v>24</v>
      </c>
      <c r="C151" s="304">
        <v>2</v>
      </c>
      <c r="D151" s="308">
        <v>0.25</v>
      </c>
      <c r="E151" s="309">
        <f t="shared" si="12"/>
        <v>7.7502299999999993</v>
      </c>
      <c r="K151" s="304">
        <v>12</v>
      </c>
      <c r="L151" s="304">
        <v>72</v>
      </c>
      <c r="M151" s="304">
        <v>6</v>
      </c>
      <c r="N151" s="308">
        <v>0.25</v>
      </c>
      <c r="O151" s="309">
        <f t="shared" si="11"/>
        <v>23.250689999999999</v>
      </c>
      <c r="P151" s="30"/>
    </row>
    <row r="152" spans="1:16" x14ac:dyDescent="0.2">
      <c r="A152" s="304">
        <v>13</v>
      </c>
      <c r="B152" s="304">
        <v>104</v>
      </c>
      <c r="C152" s="304">
        <v>8</v>
      </c>
      <c r="D152" s="308">
        <v>0.25</v>
      </c>
      <c r="E152" s="309">
        <f t="shared" si="12"/>
        <v>33.459330000000001</v>
      </c>
      <c r="K152" s="304">
        <v>13</v>
      </c>
      <c r="L152" s="304">
        <v>65</v>
      </c>
      <c r="M152" s="304">
        <v>6</v>
      </c>
      <c r="N152" s="308">
        <v>0.25</v>
      </c>
      <c r="O152" s="309">
        <f t="shared" si="11"/>
        <v>20.91208125</v>
      </c>
      <c r="P152" s="30"/>
    </row>
    <row r="153" spans="1:16" x14ac:dyDescent="0.2">
      <c r="A153" s="304">
        <v>14</v>
      </c>
      <c r="B153" s="304">
        <v>84</v>
      </c>
      <c r="C153" s="304">
        <v>6</v>
      </c>
      <c r="D153" s="308">
        <v>0.25</v>
      </c>
      <c r="E153" s="309">
        <f t="shared" si="12"/>
        <v>26.938305</v>
      </c>
      <c r="K153" s="304">
        <v>14</v>
      </c>
      <c r="L153" s="304">
        <v>56</v>
      </c>
      <c r="M153" s="304">
        <v>5</v>
      </c>
      <c r="N153" s="308">
        <v>0.25</v>
      </c>
      <c r="O153" s="309">
        <f t="shared" si="11"/>
        <v>17.958870000000001</v>
      </c>
      <c r="P153" s="30"/>
    </row>
    <row r="154" spans="1:16" x14ac:dyDescent="0.2">
      <c r="A154" s="304">
        <v>15</v>
      </c>
      <c r="B154" s="304">
        <v>60</v>
      </c>
      <c r="C154" s="304">
        <v>4</v>
      </c>
      <c r="D154" s="308">
        <v>0.25</v>
      </c>
      <c r="E154" s="309">
        <f t="shared" si="12"/>
        <v>19.188074999999998</v>
      </c>
      <c r="K154" s="304">
        <v>15</v>
      </c>
      <c r="L154" s="304">
        <v>75</v>
      </c>
      <c r="M154" s="304">
        <v>4</v>
      </c>
      <c r="N154" s="308">
        <v>0.25</v>
      </c>
      <c r="O154" s="309">
        <f t="shared" si="11"/>
        <v>23.985093750000001</v>
      </c>
      <c r="P154" s="30"/>
    </row>
    <row r="155" spans="1:16" x14ac:dyDescent="0.2">
      <c r="A155" s="304">
        <v>16</v>
      </c>
      <c r="B155" s="304">
        <v>112</v>
      </c>
      <c r="C155" s="304">
        <v>7</v>
      </c>
      <c r="D155" s="308">
        <v>0.2</v>
      </c>
      <c r="E155" s="309">
        <f t="shared" si="12"/>
        <v>38.112256000000002</v>
      </c>
      <c r="K155" s="304">
        <v>16</v>
      </c>
      <c r="L155" s="304">
        <v>48</v>
      </c>
      <c r="M155" s="304">
        <v>5</v>
      </c>
      <c r="N155" s="308">
        <v>0.2</v>
      </c>
      <c r="O155" s="309">
        <f t="shared" si="11"/>
        <v>16.333824000000003</v>
      </c>
      <c r="P155" s="30"/>
    </row>
    <row r="156" spans="1:16" x14ac:dyDescent="0.2">
      <c r="A156" s="304">
        <v>17</v>
      </c>
      <c r="B156" s="304">
        <v>68</v>
      </c>
      <c r="C156" s="304">
        <v>4</v>
      </c>
      <c r="D156" s="308">
        <v>0.1</v>
      </c>
      <c r="E156" s="309">
        <f t="shared" si="12"/>
        <v>25.975781999999999</v>
      </c>
      <c r="K156" s="304">
        <v>17</v>
      </c>
      <c r="L156" s="304">
        <v>153</v>
      </c>
      <c r="M156" s="304">
        <v>3</v>
      </c>
      <c r="N156" s="308">
        <v>0.1</v>
      </c>
      <c r="O156" s="309">
        <f t="shared" si="11"/>
        <v>58.445509500000007</v>
      </c>
      <c r="P156" s="30"/>
    </row>
    <row r="157" spans="1:16" x14ac:dyDescent="0.2">
      <c r="A157" s="304">
        <v>18</v>
      </c>
      <c r="B157" s="304">
        <v>108</v>
      </c>
      <c r="C157" s="304">
        <v>6</v>
      </c>
      <c r="D157" s="308">
        <v>0.1</v>
      </c>
      <c r="E157" s="309">
        <f t="shared" si="12"/>
        <v>41.176242000000002</v>
      </c>
      <c r="K157" s="304">
        <v>18</v>
      </c>
      <c r="L157" s="304">
        <v>72</v>
      </c>
      <c r="M157" s="304">
        <v>9</v>
      </c>
      <c r="N157" s="308">
        <v>0.1</v>
      </c>
      <c r="O157" s="309">
        <f t="shared" si="11"/>
        <v>27.450827999999998</v>
      </c>
      <c r="P157" s="30"/>
    </row>
    <row r="158" spans="1:16" x14ac:dyDescent="0.2">
      <c r="A158" s="304">
        <v>19</v>
      </c>
      <c r="B158" s="304">
        <v>76</v>
      </c>
      <c r="C158" s="304">
        <v>4</v>
      </c>
      <c r="D158" s="308">
        <v>0.05</v>
      </c>
      <c r="E158" s="309">
        <f t="shared" si="12"/>
        <v>30.532867</v>
      </c>
      <c r="K158" s="304">
        <v>19</v>
      </c>
      <c r="L158" s="304">
        <v>114</v>
      </c>
      <c r="M158" s="304">
        <v>4</v>
      </c>
      <c r="N158" s="308">
        <v>0.05</v>
      </c>
      <c r="O158" s="309">
        <f t="shared" si="11"/>
        <v>45.799300500000001</v>
      </c>
      <c r="P158" s="30"/>
    </row>
    <row r="159" spans="1:16" x14ac:dyDescent="0.2">
      <c r="A159" s="304">
        <v>20</v>
      </c>
      <c r="B159" s="304">
        <v>40</v>
      </c>
      <c r="C159" s="304">
        <v>2</v>
      </c>
      <c r="D159" s="308">
        <v>0.05</v>
      </c>
      <c r="E159" s="309">
        <f t="shared" si="12"/>
        <v>16.044929999999997</v>
      </c>
      <c r="K159" s="304">
        <v>20</v>
      </c>
      <c r="L159" s="304">
        <v>40</v>
      </c>
      <c r="M159" s="304">
        <v>6</v>
      </c>
      <c r="N159" s="308">
        <v>0.05</v>
      </c>
      <c r="O159" s="309">
        <f t="shared" si="11"/>
        <v>16.044929999999997</v>
      </c>
      <c r="P159" s="30"/>
    </row>
    <row r="160" spans="1:16" x14ac:dyDescent="0.2">
      <c r="A160" s="304">
        <v>21</v>
      </c>
      <c r="B160" s="304">
        <v>105</v>
      </c>
      <c r="C160" s="304">
        <v>5</v>
      </c>
      <c r="D160" s="310"/>
      <c r="E160" s="309">
        <f t="shared" si="12"/>
        <v>44.272175000000004</v>
      </c>
      <c r="K160" s="304">
        <v>21</v>
      </c>
      <c r="L160" s="304">
        <v>84</v>
      </c>
      <c r="M160" s="304">
        <v>2</v>
      </c>
      <c r="N160" s="310"/>
      <c r="O160" s="309">
        <f t="shared" si="11"/>
        <v>35.417740000000002</v>
      </c>
      <c r="P160" s="30"/>
    </row>
    <row r="161" spans="1:16" x14ac:dyDescent="0.2">
      <c r="A161" s="304">
        <v>22</v>
      </c>
      <c r="B161" s="304">
        <v>44</v>
      </c>
      <c r="C161" s="304">
        <v>2</v>
      </c>
      <c r="D161" s="305"/>
      <c r="E161" s="309">
        <f t="shared" si="12"/>
        <v>18.528339999999996</v>
      </c>
      <c r="K161" s="304">
        <v>22</v>
      </c>
      <c r="L161" s="304">
        <v>22</v>
      </c>
      <c r="M161" s="304">
        <v>4</v>
      </c>
      <c r="N161" s="305"/>
      <c r="O161" s="309">
        <f t="shared" si="11"/>
        <v>9.2641699999999982</v>
      </c>
      <c r="P161" s="30"/>
    </row>
    <row r="162" spans="1:16" x14ac:dyDescent="0.2">
      <c r="A162" s="304">
        <v>23</v>
      </c>
      <c r="B162" s="304">
        <v>138</v>
      </c>
      <c r="C162" s="304">
        <v>6</v>
      </c>
      <c r="D162" s="305"/>
      <c r="E162" s="309">
        <f t="shared" si="12"/>
        <v>58.043429999999994</v>
      </c>
      <c r="K162" s="304">
        <v>23</v>
      </c>
      <c r="L162" s="304">
        <v>115</v>
      </c>
      <c r="M162" s="304">
        <v>1</v>
      </c>
      <c r="N162" s="305"/>
      <c r="O162" s="309">
        <f t="shared" si="11"/>
        <v>48.369524999999996</v>
      </c>
      <c r="P162" s="30"/>
    </row>
    <row r="163" spans="1:16" x14ac:dyDescent="0.2">
      <c r="A163" s="304">
        <v>24</v>
      </c>
      <c r="B163" s="304">
        <v>120</v>
      </c>
      <c r="C163" s="304">
        <v>5</v>
      </c>
      <c r="D163" s="305"/>
      <c r="E163" s="309">
        <f t="shared" si="12"/>
        <v>50.418199999999999</v>
      </c>
      <c r="K163" s="304">
        <v>24</v>
      </c>
      <c r="L163" s="304">
        <v>96</v>
      </c>
      <c r="M163" s="304">
        <v>5</v>
      </c>
      <c r="N163" s="305"/>
      <c r="O163" s="309">
        <f t="shared" si="11"/>
        <v>40.334560000000003</v>
      </c>
      <c r="P163" s="30"/>
    </row>
    <row r="164" spans="1:16" x14ac:dyDescent="0.2">
      <c r="A164" s="304">
        <v>25</v>
      </c>
      <c r="B164" s="304">
        <v>25</v>
      </c>
      <c r="C164" s="304">
        <v>1</v>
      </c>
      <c r="D164" s="305"/>
      <c r="E164" s="309">
        <f t="shared" si="12"/>
        <v>10.493375</v>
      </c>
      <c r="K164" s="304">
        <v>25</v>
      </c>
      <c r="L164" s="304">
        <v>75</v>
      </c>
      <c r="M164" s="304">
        <v>4</v>
      </c>
      <c r="N164" s="305"/>
      <c r="O164" s="309">
        <f t="shared" si="11"/>
        <v>31.480125000000001</v>
      </c>
      <c r="P164" s="30"/>
    </row>
    <row r="165" spans="1:16" x14ac:dyDescent="0.2">
      <c r="A165" s="304">
        <v>26</v>
      </c>
      <c r="B165" s="304">
        <v>78</v>
      </c>
      <c r="C165" s="304">
        <v>3</v>
      </c>
      <c r="D165" s="305"/>
      <c r="E165" s="309">
        <f t="shared" si="12"/>
        <v>32.709329999999994</v>
      </c>
      <c r="K165" s="304">
        <v>26</v>
      </c>
      <c r="L165" s="304">
        <v>208</v>
      </c>
      <c r="M165" s="304">
        <v>3</v>
      </c>
      <c r="N165" s="305"/>
      <c r="O165" s="309">
        <f t="shared" si="11"/>
        <v>87.224879999999999</v>
      </c>
      <c r="P165" s="30"/>
    </row>
    <row r="166" spans="1:16" x14ac:dyDescent="0.2">
      <c r="A166" s="304">
        <v>27</v>
      </c>
      <c r="B166" s="304">
        <v>81</v>
      </c>
      <c r="C166" s="304">
        <v>3</v>
      </c>
      <c r="D166" s="305"/>
      <c r="E166" s="309">
        <f t="shared" si="12"/>
        <v>33.938534999999995</v>
      </c>
      <c r="K166" s="304">
        <v>27</v>
      </c>
      <c r="L166" s="304">
        <v>54</v>
      </c>
      <c r="M166" s="304">
        <v>8</v>
      </c>
      <c r="N166" s="305"/>
      <c r="O166" s="309">
        <f t="shared" si="11"/>
        <v>22.625689999999999</v>
      </c>
      <c r="P166" s="30"/>
    </row>
    <row r="167" spans="1:16" x14ac:dyDescent="0.2">
      <c r="A167" s="304">
        <v>28</v>
      </c>
      <c r="B167" s="304">
        <v>112</v>
      </c>
      <c r="C167" s="304">
        <v>4</v>
      </c>
      <c r="D167" s="305"/>
      <c r="E167" s="309">
        <f t="shared" si="12"/>
        <v>46.890320000000003</v>
      </c>
      <c r="K167" s="304">
        <v>28</v>
      </c>
      <c r="L167" s="304">
        <v>140</v>
      </c>
      <c r="M167" s="304">
        <v>2</v>
      </c>
      <c r="N167" s="305"/>
      <c r="O167" s="309">
        <f t="shared" si="11"/>
        <v>58.612899999999996</v>
      </c>
      <c r="P167" s="30"/>
    </row>
    <row r="168" spans="1:16" x14ac:dyDescent="0.2">
      <c r="A168" s="304">
        <v>29</v>
      </c>
      <c r="B168" s="304">
        <v>145</v>
      </c>
      <c r="C168" s="304">
        <v>5</v>
      </c>
      <c r="D168" s="305"/>
      <c r="E168" s="309">
        <f t="shared" si="12"/>
        <v>60.661574999999999</v>
      </c>
      <c r="K168" s="304">
        <v>29</v>
      </c>
      <c r="L168" s="304">
        <v>145</v>
      </c>
      <c r="M168" s="304">
        <v>5</v>
      </c>
      <c r="N168" s="305"/>
      <c r="O168" s="309">
        <f t="shared" si="11"/>
        <v>60.661574999999999</v>
      </c>
      <c r="P168" s="30"/>
    </row>
    <row r="169" spans="1:16" x14ac:dyDescent="0.2">
      <c r="A169" s="304">
        <v>30</v>
      </c>
      <c r="B169" s="304">
        <v>120</v>
      </c>
      <c r="C169" s="304">
        <v>4</v>
      </c>
      <c r="D169" s="305"/>
      <c r="E169" s="309">
        <f t="shared" si="12"/>
        <v>50.168199999999999</v>
      </c>
      <c r="K169" s="304">
        <v>30</v>
      </c>
      <c r="L169" s="304">
        <v>150</v>
      </c>
      <c r="M169" s="304">
        <v>5</v>
      </c>
      <c r="N169" s="305"/>
      <c r="O169" s="309">
        <f t="shared" si="11"/>
        <v>62.710250000000002</v>
      </c>
      <c r="P169" s="30"/>
    </row>
    <row r="170" spans="1:16" x14ac:dyDescent="0.2">
      <c r="A170" s="304">
        <v>31</v>
      </c>
      <c r="B170" s="304">
        <v>93</v>
      </c>
      <c r="C170" s="304">
        <v>3</v>
      </c>
      <c r="D170" s="305"/>
      <c r="E170" s="309">
        <f t="shared" si="12"/>
        <v>38.855355000000003</v>
      </c>
      <c r="K170" s="304">
        <v>31</v>
      </c>
      <c r="L170" s="304">
        <v>93</v>
      </c>
      <c r="M170" s="304">
        <v>5</v>
      </c>
      <c r="N170" s="305"/>
      <c r="O170" s="309">
        <f t="shared" si="11"/>
        <v>38.855355000000003</v>
      </c>
      <c r="P170" s="30"/>
    </row>
    <row r="171" spans="1:16" x14ac:dyDescent="0.2">
      <c r="A171" s="304">
        <v>32</v>
      </c>
      <c r="B171" s="304">
        <v>64</v>
      </c>
      <c r="C171" s="304">
        <v>2</v>
      </c>
      <c r="D171" s="305"/>
      <c r="E171" s="309">
        <f t="shared" si="12"/>
        <v>26.723039999999997</v>
      </c>
      <c r="K171" s="304">
        <v>32</v>
      </c>
      <c r="L171" s="304">
        <v>96</v>
      </c>
      <c r="M171" s="304">
        <v>3</v>
      </c>
      <c r="N171" s="305"/>
      <c r="O171" s="309">
        <f t="shared" si="11"/>
        <v>40.084560000000003</v>
      </c>
      <c r="P171" s="30"/>
    </row>
    <row r="172" spans="1:16" x14ac:dyDescent="0.2">
      <c r="A172" s="304">
        <v>33</v>
      </c>
      <c r="B172" s="304">
        <v>33</v>
      </c>
      <c r="C172" s="304">
        <v>1</v>
      </c>
      <c r="D172" s="305"/>
      <c r="E172" s="309">
        <f t="shared" si="12"/>
        <v>13.771255</v>
      </c>
      <c r="K172" s="304">
        <v>33</v>
      </c>
      <c r="L172" s="304">
        <v>132</v>
      </c>
      <c r="M172" s="304">
        <v>3</v>
      </c>
      <c r="N172" s="305"/>
      <c r="O172" s="309">
        <f t="shared" si="11"/>
        <v>55.08502</v>
      </c>
      <c r="P172" s="30"/>
    </row>
    <row r="173" spans="1:16" x14ac:dyDescent="0.2">
      <c r="A173" s="304">
        <v>34</v>
      </c>
      <c r="B173" s="304">
        <v>34</v>
      </c>
      <c r="C173" s="304">
        <v>1</v>
      </c>
      <c r="D173" s="305"/>
      <c r="E173" s="309">
        <f t="shared" si="12"/>
        <v>14.180990000000001</v>
      </c>
      <c r="K173" s="304">
        <v>34</v>
      </c>
      <c r="L173" s="304">
        <v>102</v>
      </c>
      <c r="M173" s="304">
        <v>4</v>
      </c>
      <c r="N173" s="305"/>
      <c r="O173" s="309">
        <f t="shared" si="11"/>
        <v>42.542969999999997</v>
      </c>
      <c r="P173" s="30"/>
    </row>
    <row r="174" spans="1:16" x14ac:dyDescent="0.2">
      <c r="A174" s="304">
        <v>35</v>
      </c>
      <c r="B174" s="304">
        <v>105</v>
      </c>
      <c r="C174" s="304">
        <v>3</v>
      </c>
      <c r="D174" s="305"/>
      <c r="E174" s="309">
        <f t="shared" si="12"/>
        <v>43.772175000000004</v>
      </c>
      <c r="K174" s="304">
        <v>35</v>
      </c>
      <c r="L174" s="304">
        <v>70</v>
      </c>
      <c r="M174" s="304">
        <v>3</v>
      </c>
      <c r="N174" s="305"/>
      <c r="O174" s="309">
        <f t="shared" si="11"/>
        <v>29.181449999999998</v>
      </c>
      <c r="P174" s="30"/>
    </row>
    <row r="175" spans="1:16" x14ac:dyDescent="0.2">
      <c r="A175" s="304">
        <v>36</v>
      </c>
      <c r="B175" s="304">
        <v>108</v>
      </c>
      <c r="C175" s="304">
        <v>3</v>
      </c>
      <c r="D175" s="305"/>
      <c r="E175" s="309">
        <f t="shared" si="12"/>
        <v>45.001379999999997</v>
      </c>
      <c r="K175" s="304">
        <v>36</v>
      </c>
      <c r="L175" s="304">
        <v>144</v>
      </c>
      <c r="M175" s="304">
        <v>2</v>
      </c>
      <c r="N175" s="305"/>
      <c r="O175" s="309">
        <f t="shared" si="11"/>
        <v>60.001839999999994</v>
      </c>
      <c r="P175" s="30"/>
    </row>
    <row r="176" spans="1:16" x14ac:dyDescent="0.2">
      <c r="A176" s="304">
        <v>37</v>
      </c>
      <c r="B176" s="304">
        <v>148</v>
      </c>
      <c r="C176" s="304">
        <v>4</v>
      </c>
      <c r="D176" s="305"/>
      <c r="E176" s="309">
        <f t="shared" si="12"/>
        <v>61.640779999999999</v>
      </c>
      <c r="K176" s="304">
        <v>37</v>
      </c>
      <c r="L176" s="304">
        <v>37</v>
      </c>
      <c r="M176" s="304">
        <v>4</v>
      </c>
      <c r="N176" s="305"/>
      <c r="O176" s="309">
        <f t="shared" si="11"/>
        <v>15.410195</v>
      </c>
      <c r="P176" s="30"/>
    </row>
    <row r="177" spans="1:16" x14ac:dyDescent="0.2">
      <c r="A177" s="304">
        <v>38</v>
      </c>
      <c r="B177" s="304">
        <v>76</v>
      </c>
      <c r="C177" s="304">
        <v>2</v>
      </c>
      <c r="D177" s="305"/>
      <c r="E177" s="309">
        <f t="shared" si="12"/>
        <v>31.639859999999999</v>
      </c>
      <c r="K177" s="304">
        <v>38</v>
      </c>
      <c r="L177" s="304">
        <v>114</v>
      </c>
      <c r="M177" s="304">
        <v>1</v>
      </c>
      <c r="N177" s="305"/>
      <c r="O177" s="309">
        <f t="shared" si="11"/>
        <v>47.459789999999998</v>
      </c>
      <c r="P177" s="30"/>
    </row>
    <row r="178" spans="1:16" x14ac:dyDescent="0.2">
      <c r="A178" s="304">
        <v>39</v>
      </c>
      <c r="B178" s="304">
        <v>39</v>
      </c>
      <c r="C178" s="304">
        <v>1</v>
      </c>
      <c r="D178" s="305"/>
      <c r="E178" s="309">
        <f t="shared" si="12"/>
        <v>16.229664999999997</v>
      </c>
      <c r="K178" s="304">
        <v>39</v>
      </c>
      <c r="L178" s="304">
        <v>78</v>
      </c>
      <c r="M178" s="304">
        <v>3</v>
      </c>
      <c r="N178" s="305"/>
      <c r="O178" s="309">
        <f t="shared" si="11"/>
        <v>32.459329999999994</v>
      </c>
      <c r="P178" s="30"/>
    </row>
    <row r="179" spans="1:16" x14ac:dyDescent="0.2">
      <c r="A179" s="304">
        <v>40</v>
      </c>
      <c r="B179" s="304">
        <v>200</v>
      </c>
      <c r="C179" s="304">
        <v>5</v>
      </c>
      <c r="D179" s="305"/>
      <c r="E179" s="309">
        <f t="shared" si="12"/>
        <v>83.197000000000003</v>
      </c>
      <c r="K179" s="304">
        <v>40</v>
      </c>
      <c r="L179" s="304">
        <v>160</v>
      </c>
      <c r="M179" s="304">
        <v>2</v>
      </c>
      <c r="N179" s="305"/>
      <c r="O179" s="309">
        <f t="shared" si="11"/>
        <v>66.557599999999994</v>
      </c>
      <c r="P179" s="30"/>
    </row>
    <row r="180" spans="1:16" x14ac:dyDescent="0.2">
      <c r="A180" s="304">
        <v>41</v>
      </c>
      <c r="B180" s="304">
        <v>164</v>
      </c>
      <c r="C180" s="304">
        <v>4</v>
      </c>
      <c r="D180" s="305"/>
      <c r="E180" s="309">
        <f t="shared" si="12"/>
        <v>68.196539999999999</v>
      </c>
      <c r="K180" s="304">
        <v>41</v>
      </c>
      <c r="L180" s="304">
        <v>41</v>
      </c>
      <c r="M180" s="304">
        <v>4</v>
      </c>
      <c r="N180" s="305"/>
      <c r="O180" s="309">
        <f t="shared" si="11"/>
        <v>17.049135</v>
      </c>
      <c r="P180" s="30"/>
    </row>
    <row r="181" spans="1:16" x14ac:dyDescent="0.2">
      <c r="A181" s="304">
        <v>42</v>
      </c>
      <c r="B181" s="304">
        <v>252</v>
      </c>
      <c r="C181" s="304">
        <v>6</v>
      </c>
      <c r="D181" s="305"/>
      <c r="E181" s="309">
        <f t="shared" si="12"/>
        <v>104.75322</v>
      </c>
      <c r="K181" s="304">
        <v>42</v>
      </c>
      <c r="L181" s="304">
        <v>126</v>
      </c>
      <c r="M181" s="304">
        <v>1</v>
      </c>
      <c r="N181" s="305"/>
      <c r="O181" s="309">
        <f t="shared" si="11"/>
        <v>52.376609999999999</v>
      </c>
      <c r="P181" s="30"/>
    </row>
    <row r="182" spans="1:16" x14ac:dyDescent="0.2">
      <c r="A182" s="304">
        <v>43</v>
      </c>
      <c r="B182" s="304">
        <v>86</v>
      </c>
      <c r="C182" s="304">
        <v>2</v>
      </c>
      <c r="D182" s="305"/>
      <c r="E182" s="309">
        <f t="shared" si="12"/>
        <v>35.737209999999997</v>
      </c>
      <c r="K182" s="304">
        <v>43</v>
      </c>
      <c r="L182" s="304">
        <v>215</v>
      </c>
      <c r="M182" s="304">
        <v>3</v>
      </c>
      <c r="N182" s="305"/>
      <c r="O182" s="309">
        <f t="shared" si="11"/>
        <v>89.343024999999997</v>
      </c>
      <c r="P182" s="30"/>
    </row>
    <row r="183" spans="1:16" x14ac:dyDescent="0.2">
      <c r="A183" s="304">
        <v>44</v>
      </c>
      <c r="B183" s="304">
        <v>132</v>
      </c>
      <c r="C183" s="304">
        <v>3</v>
      </c>
      <c r="D183" s="305"/>
      <c r="E183" s="309">
        <f t="shared" si="12"/>
        <v>54.83502</v>
      </c>
      <c r="K183" s="304">
        <v>44</v>
      </c>
      <c r="L183" s="304">
        <v>132</v>
      </c>
      <c r="M183" s="304">
        <v>5</v>
      </c>
      <c r="N183" s="305"/>
      <c r="O183" s="309">
        <f t="shared" si="11"/>
        <v>54.83502</v>
      </c>
      <c r="P183" s="30"/>
    </row>
    <row r="184" spans="1:16" x14ac:dyDescent="0.2">
      <c r="A184" s="304">
        <v>45</v>
      </c>
      <c r="B184" s="304">
        <v>270</v>
      </c>
      <c r="C184" s="304">
        <v>6</v>
      </c>
      <c r="D184" s="305"/>
      <c r="E184" s="309">
        <f t="shared" si="12"/>
        <v>112.12845</v>
      </c>
      <c r="K184" s="304">
        <v>45</v>
      </c>
      <c r="L184" s="304">
        <v>225</v>
      </c>
      <c r="M184" s="304">
        <v>3</v>
      </c>
      <c r="N184" s="305"/>
      <c r="O184" s="309">
        <f t="shared" si="11"/>
        <v>93.440375000000003</v>
      </c>
      <c r="P184" s="30"/>
    </row>
    <row r="185" spans="1:16" x14ac:dyDescent="0.2">
      <c r="A185" s="304">
        <v>46</v>
      </c>
      <c r="B185" s="304">
        <v>46</v>
      </c>
      <c r="C185" s="304">
        <v>1</v>
      </c>
      <c r="D185" s="305"/>
      <c r="E185" s="309">
        <f t="shared" si="12"/>
        <v>19.097809999999999</v>
      </c>
      <c r="K185" s="304">
        <v>46</v>
      </c>
      <c r="L185" s="304">
        <v>138</v>
      </c>
      <c r="M185" s="304">
        <v>5</v>
      </c>
      <c r="N185" s="305"/>
      <c r="O185" s="309">
        <f t="shared" si="11"/>
        <v>57.293429999999994</v>
      </c>
      <c r="P185" s="30"/>
    </row>
    <row r="186" spans="1:16" x14ac:dyDescent="0.2">
      <c r="A186" s="304">
        <v>47</v>
      </c>
      <c r="B186" s="304">
        <v>94</v>
      </c>
      <c r="C186" s="304">
        <v>2</v>
      </c>
      <c r="D186" s="305"/>
      <c r="E186" s="309">
        <f t="shared" si="12"/>
        <v>39.015090000000001</v>
      </c>
      <c r="K186" s="304">
        <v>47</v>
      </c>
      <c r="L186" s="304">
        <v>94</v>
      </c>
      <c r="M186" s="304">
        <v>3</v>
      </c>
      <c r="N186" s="305"/>
      <c r="O186" s="309">
        <f t="shared" si="11"/>
        <v>39.015090000000001</v>
      </c>
      <c r="P186" s="30"/>
    </row>
    <row r="187" spans="1:16" x14ac:dyDescent="0.2">
      <c r="A187" s="304">
        <v>48</v>
      </c>
      <c r="B187" s="304">
        <v>48</v>
      </c>
      <c r="C187" s="304">
        <v>1</v>
      </c>
      <c r="D187" s="305"/>
      <c r="E187" s="309">
        <f t="shared" si="12"/>
        <v>19.917280000000002</v>
      </c>
      <c r="K187" s="304">
        <v>48</v>
      </c>
      <c r="L187" s="304">
        <v>96</v>
      </c>
      <c r="M187" s="304">
        <v>2</v>
      </c>
      <c r="N187" s="305"/>
      <c r="O187" s="309">
        <f t="shared" si="11"/>
        <v>39.834560000000003</v>
      </c>
      <c r="P187" s="30"/>
    </row>
    <row r="188" spans="1:16" x14ac:dyDescent="0.2">
      <c r="A188" s="304">
        <v>49</v>
      </c>
      <c r="B188" s="304">
        <v>196</v>
      </c>
      <c r="C188" s="304">
        <v>4</v>
      </c>
      <c r="D188" s="305"/>
      <c r="E188" s="309">
        <f t="shared" si="12"/>
        <v>81.308059999999998</v>
      </c>
      <c r="K188" s="304">
        <v>49</v>
      </c>
      <c r="L188" s="304">
        <v>98</v>
      </c>
      <c r="M188" s="304">
        <v>2</v>
      </c>
      <c r="N188" s="305"/>
      <c r="O188" s="309">
        <f t="shared" si="11"/>
        <v>40.654029999999999</v>
      </c>
      <c r="P188" s="30"/>
    </row>
    <row r="189" spans="1:16" x14ac:dyDescent="0.2">
      <c r="A189" s="304">
        <v>50</v>
      </c>
      <c r="B189" s="304">
        <v>50</v>
      </c>
      <c r="C189" s="304">
        <v>1</v>
      </c>
      <c r="D189" s="305"/>
      <c r="E189" s="309">
        <f t="shared" si="12"/>
        <v>20.736750000000001</v>
      </c>
      <c r="K189" s="304">
        <v>50</v>
      </c>
      <c r="L189" s="304">
        <v>150</v>
      </c>
      <c r="M189" s="304">
        <v>2</v>
      </c>
      <c r="N189" s="305"/>
      <c r="O189" s="309">
        <f t="shared" si="11"/>
        <v>62.210250000000002</v>
      </c>
      <c r="P189" s="30"/>
    </row>
    <row r="190" spans="1:16" x14ac:dyDescent="0.2">
      <c r="A190" s="304">
        <v>51</v>
      </c>
      <c r="B190" s="304">
        <v>255</v>
      </c>
      <c r="C190" s="304">
        <v>5</v>
      </c>
      <c r="D190" s="305"/>
      <c r="E190" s="309">
        <f t="shared" si="12"/>
        <v>105.73242499999999</v>
      </c>
      <c r="K190" s="304">
        <v>51</v>
      </c>
      <c r="L190" s="304">
        <v>204</v>
      </c>
      <c r="M190" s="304">
        <v>3</v>
      </c>
      <c r="N190" s="305"/>
      <c r="O190" s="309">
        <f t="shared" si="11"/>
        <v>84.585939999999994</v>
      </c>
      <c r="P190" s="30"/>
    </row>
    <row r="191" spans="1:16" x14ac:dyDescent="0.2">
      <c r="A191" s="304">
        <v>52</v>
      </c>
      <c r="B191" s="304">
        <v>52</v>
      </c>
      <c r="C191" s="304">
        <v>1</v>
      </c>
      <c r="D191" s="305"/>
      <c r="E191" s="309">
        <f t="shared" si="12"/>
        <v>21.55622</v>
      </c>
      <c r="K191" s="304">
        <v>52</v>
      </c>
      <c r="L191" s="304">
        <v>156</v>
      </c>
      <c r="M191" s="304">
        <v>4</v>
      </c>
      <c r="N191" s="305"/>
      <c r="O191" s="309">
        <f t="shared" si="11"/>
        <v>64.668659999999988</v>
      </c>
      <c r="P191" s="30"/>
    </row>
    <row r="192" spans="1:16" x14ac:dyDescent="0.2">
      <c r="A192" s="304">
        <v>53</v>
      </c>
      <c r="B192" s="304">
        <v>212</v>
      </c>
      <c r="C192" s="304">
        <v>4</v>
      </c>
      <c r="D192" s="305"/>
      <c r="E192" s="309">
        <f t="shared" si="12"/>
        <v>87.86381999999999</v>
      </c>
      <c r="K192" s="304">
        <v>53</v>
      </c>
      <c r="L192" s="304">
        <v>265</v>
      </c>
      <c r="M192" s="304">
        <v>3</v>
      </c>
      <c r="N192" s="305"/>
      <c r="O192" s="309">
        <f t="shared" si="11"/>
        <v>109.829775</v>
      </c>
      <c r="P192" s="30"/>
    </row>
    <row r="193" spans="1:16" x14ac:dyDescent="0.2">
      <c r="A193" s="304">
        <v>54</v>
      </c>
      <c r="B193" s="304">
        <v>216</v>
      </c>
      <c r="C193" s="304">
        <v>4</v>
      </c>
      <c r="D193" s="305"/>
      <c r="E193" s="309">
        <f t="shared" si="12"/>
        <v>89.502759999999995</v>
      </c>
      <c r="K193" s="304">
        <v>54</v>
      </c>
      <c r="L193" s="304">
        <v>108</v>
      </c>
      <c r="M193" s="304">
        <v>5</v>
      </c>
      <c r="N193" s="305"/>
      <c r="O193" s="309">
        <f t="shared" si="11"/>
        <v>44.751379999999997</v>
      </c>
      <c r="P193" s="30"/>
    </row>
    <row r="194" spans="1:16" x14ac:dyDescent="0.2">
      <c r="A194" s="304">
        <v>55</v>
      </c>
      <c r="B194" s="304">
        <v>220</v>
      </c>
      <c r="C194" s="304">
        <v>4</v>
      </c>
      <c r="D194" s="305"/>
      <c r="E194" s="309">
        <f t="shared" si="12"/>
        <v>91.1417</v>
      </c>
      <c r="K194" s="304">
        <v>55</v>
      </c>
      <c r="L194" s="304">
        <v>275</v>
      </c>
      <c r="M194" s="304">
        <v>2</v>
      </c>
      <c r="N194" s="305"/>
      <c r="O194" s="309">
        <f t="shared" si="11"/>
        <v>113.92712499999999</v>
      </c>
      <c r="P194" s="30"/>
    </row>
    <row r="195" spans="1:16" x14ac:dyDescent="0.2">
      <c r="A195" s="304">
        <v>56</v>
      </c>
      <c r="B195" s="304">
        <v>280</v>
      </c>
      <c r="C195" s="304">
        <v>5</v>
      </c>
      <c r="D195" s="305"/>
      <c r="E195" s="309">
        <f t="shared" si="12"/>
        <v>115.97579999999999</v>
      </c>
      <c r="K195" s="304">
        <v>56</v>
      </c>
      <c r="L195" s="304">
        <v>392</v>
      </c>
      <c r="M195" s="304">
        <v>5</v>
      </c>
      <c r="N195" s="305"/>
      <c r="O195" s="309">
        <f t="shared" si="11"/>
        <v>162.36612</v>
      </c>
      <c r="P195" s="30"/>
    </row>
    <row r="196" spans="1:16" x14ac:dyDescent="0.2">
      <c r="A196" s="304">
        <v>57</v>
      </c>
      <c r="B196" s="304">
        <v>171</v>
      </c>
      <c r="C196" s="304">
        <v>3</v>
      </c>
      <c r="D196" s="305"/>
      <c r="E196" s="309">
        <f t="shared" si="12"/>
        <v>70.814684999999997</v>
      </c>
      <c r="K196" s="304">
        <v>57</v>
      </c>
      <c r="L196" s="304">
        <v>285</v>
      </c>
      <c r="M196" s="304">
        <v>7</v>
      </c>
      <c r="N196" s="305"/>
      <c r="O196" s="309">
        <f t="shared" si="11"/>
        <v>118.024475</v>
      </c>
      <c r="P196" s="30"/>
    </row>
    <row r="197" spans="1:16" x14ac:dyDescent="0.2">
      <c r="A197" s="304">
        <v>58</v>
      </c>
      <c r="B197" s="304">
        <v>116</v>
      </c>
      <c r="C197" s="304">
        <v>2</v>
      </c>
      <c r="D197" s="305"/>
      <c r="E197" s="309">
        <f t="shared" si="12"/>
        <v>48.029259999999994</v>
      </c>
      <c r="K197" s="304">
        <v>58</v>
      </c>
      <c r="L197" s="304">
        <v>174</v>
      </c>
      <c r="M197" s="304">
        <v>5</v>
      </c>
      <c r="N197" s="305"/>
      <c r="O197" s="309">
        <f t="shared" si="11"/>
        <v>72.04388999999999</v>
      </c>
      <c r="P197" s="30"/>
    </row>
    <row r="198" spans="1:16" x14ac:dyDescent="0.2">
      <c r="A198" s="304">
        <v>59</v>
      </c>
      <c r="B198" s="304">
        <v>295</v>
      </c>
      <c r="C198" s="304">
        <v>5</v>
      </c>
      <c r="D198" s="305"/>
      <c r="E198" s="309">
        <f t="shared" si="12"/>
        <v>122.121825</v>
      </c>
      <c r="K198" s="304">
        <v>59</v>
      </c>
      <c r="L198" s="304">
        <v>295</v>
      </c>
      <c r="M198" s="304">
        <v>3</v>
      </c>
      <c r="N198" s="305"/>
      <c r="O198" s="309">
        <f t="shared" si="11"/>
        <v>122.121825</v>
      </c>
      <c r="P198" s="30"/>
    </row>
    <row r="199" spans="1:16" x14ac:dyDescent="0.2">
      <c r="A199" s="304">
        <v>60</v>
      </c>
      <c r="B199" s="304">
        <v>360</v>
      </c>
      <c r="C199" s="304">
        <v>6</v>
      </c>
      <c r="D199" s="305"/>
      <c r="E199" s="309">
        <f t="shared" si="12"/>
        <v>149.00459999999998</v>
      </c>
      <c r="K199" s="304">
        <v>60</v>
      </c>
      <c r="L199" s="304">
        <v>120</v>
      </c>
      <c r="M199" s="304">
        <v>5</v>
      </c>
      <c r="N199" s="305"/>
      <c r="O199" s="309">
        <f t="shared" si="11"/>
        <v>49.668199999999999</v>
      </c>
      <c r="P199" s="30"/>
    </row>
    <row r="200" spans="1:16" x14ac:dyDescent="0.2">
      <c r="A200" s="304">
        <v>61</v>
      </c>
      <c r="B200" s="304">
        <v>244</v>
      </c>
      <c r="C200" s="304">
        <v>4</v>
      </c>
      <c r="D200" s="305"/>
      <c r="E200" s="309">
        <f t="shared" si="12"/>
        <v>100.97534</v>
      </c>
      <c r="K200" s="304">
        <v>61</v>
      </c>
      <c r="L200" s="304">
        <v>366</v>
      </c>
      <c r="M200" s="304">
        <v>2</v>
      </c>
      <c r="N200" s="305"/>
      <c r="O200" s="309">
        <f t="shared" si="11"/>
        <v>151.46301</v>
      </c>
      <c r="P200" s="30"/>
    </row>
    <row r="201" spans="1:16" x14ac:dyDescent="0.2">
      <c r="A201" s="304">
        <v>62</v>
      </c>
      <c r="B201" s="304">
        <v>62</v>
      </c>
      <c r="C201" s="304">
        <v>1</v>
      </c>
      <c r="D201" s="305"/>
      <c r="E201" s="309">
        <f t="shared" si="12"/>
        <v>25.653569999999998</v>
      </c>
      <c r="K201" s="304">
        <v>62</v>
      </c>
      <c r="L201" s="304">
        <v>186</v>
      </c>
      <c r="M201" s="304">
        <v>6</v>
      </c>
      <c r="N201" s="305"/>
      <c r="O201" s="309">
        <f t="shared" si="11"/>
        <v>76.960710000000006</v>
      </c>
      <c r="P201" s="30"/>
    </row>
    <row r="202" spans="1:16" x14ac:dyDescent="0.2">
      <c r="A202" s="304">
        <v>63</v>
      </c>
      <c r="B202" s="304">
        <v>189</v>
      </c>
      <c r="C202" s="304">
        <v>3</v>
      </c>
      <c r="D202" s="305"/>
      <c r="E202" s="309">
        <f t="shared" si="12"/>
        <v>78.189914999999999</v>
      </c>
      <c r="K202" s="304">
        <v>63</v>
      </c>
      <c r="L202" s="304">
        <v>126</v>
      </c>
      <c r="M202" s="304">
        <v>3</v>
      </c>
      <c r="N202" s="305"/>
      <c r="O202" s="309">
        <f t="shared" si="11"/>
        <v>52.126609999999999</v>
      </c>
      <c r="P202" s="30"/>
    </row>
    <row r="203" spans="1:16" x14ac:dyDescent="0.2">
      <c r="A203" s="304">
        <v>64</v>
      </c>
      <c r="B203" s="304">
        <v>256</v>
      </c>
      <c r="C203" s="304">
        <v>4</v>
      </c>
      <c r="D203" s="305"/>
      <c r="E203" s="309">
        <f t="shared" si="12"/>
        <v>105.89215999999999</v>
      </c>
      <c r="K203" s="304">
        <v>64</v>
      </c>
      <c r="L203" s="304">
        <v>128</v>
      </c>
      <c r="M203" s="304">
        <v>2</v>
      </c>
      <c r="N203" s="305"/>
      <c r="O203" s="309">
        <f t="shared" si="11"/>
        <v>52.946079999999995</v>
      </c>
      <c r="P203" s="30"/>
    </row>
    <row r="204" spans="1:16" x14ac:dyDescent="0.2">
      <c r="A204" s="304">
        <v>65</v>
      </c>
      <c r="B204" s="304">
        <v>130</v>
      </c>
      <c r="C204" s="304">
        <v>2</v>
      </c>
      <c r="D204" s="305"/>
      <c r="E204" s="309">
        <f t="shared" si="12"/>
        <v>53.765549999999998</v>
      </c>
      <c r="K204" s="304">
        <v>65</v>
      </c>
      <c r="L204" s="304">
        <v>130</v>
      </c>
      <c r="M204" s="304">
        <v>2</v>
      </c>
      <c r="N204" s="305"/>
      <c r="O204" s="309">
        <f t="shared" si="11"/>
        <v>53.765549999999998</v>
      </c>
      <c r="P204" s="30"/>
    </row>
    <row r="205" spans="1:16" x14ac:dyDescent="0.2">
      <c r="A205" s="304">
        <v>66</v>
      </c>
      <c r="B205" s="304">
        <v>330</v>
      </c>
      <c r="C205" s="304">
        <v>5</v>
      </c>
      <c r="D205" s="305"/>
      <c r="E205" s="309">
        <f t="shared" si="12"/>
        <v>136.46254999999999</v>
      </c>
      <c r="K205" s="304">
        <v>66</v>
      </c>
      <c r="L205" s="304">
        <v>330</v>
      </c>
      <c r="M205" s="304">
        <v>2</v>
      </c>
      <c r="N205" s="305"/>
      <c r="O205" s="309">
        <f t="shared" ref="O205:O235" si="13">(($C$134*L205)+($D$134*M206))*(1-N205)*5%</f>
        <v>136.46254999999999</v>
      </c>
      <c r="P205" s="30"/>
    </row>
    <row r="206" spans="1:16" x14ac:dyDescent="0.2">
      <c r="A206" s="304">
        <v>67</v>
      </c>
      <c r="B206" s="304">
        <v>201</v>
      </c>
      <c r="C206" s="304">
        <v>3</v>
      </c>
      <c r="D206" s="305"/>
      <c r="E206" s="309">
        <f t="shared" si="12"/>
        <v>83.106735</v>
      </c>
      <c r="K206" s="304">
        <v>67</v>
      </c>
      <c r="L206" s="304">
        <v>335</v>
      </c>
      <c r="M206" s="304">
        <v>5</v>
      </c>
      <c r="N206" s="305"/>
      <c r="O206" s="309">
        <f t="shared" si="13"/>
        <v>138.511225</v>
      </c>
      <c r="P206" s="30"/>
    </row>
    <row r="207" spans="1:16" x14ac:dyDescent="0.2">
      <c r="A207" s="304">
        <v>68</v>
      </c>
      <c r="B207" s="304">
        <v>204</v>
      </c>
      <c r="C207" s="304">
        <v>3</v>
      </c>
      <c r="D207" s="305"/>
      <c r="E207" s="309">
        <f t="shared" ref="E207:E239" si="14">(($C$134*B207)+($D$134*C207))*(1-D207)*5%</f>
        <v>84.335939999999994</v>
      </c>
      <c r="K207" s="304">
        <v>68</v>
      </c>
      <c r="L207" s="304">
        <v>204</v>
      </c>
      <c r="M207" s="304">
        <v>5</v>
      </c>
      <c r="N207" s="305"/>
      <c r="O207" s="309">
        <f t="shared" si="13"/>
        <v>84.335939999999994</v>
      </c>
      <c r="P207" s="30"/>
    </row>
    <row r="208" spans="1:16" x14ac:dyDescent="0.2">
      <c r="A208" s="304">
        <v>69</v>
      </c>
      <c r="B208" s="304">
        <v>345</v>
      </c>
      <c r="C208" s="304">
        <v>5</v>
      </c>
      <c r="D208" s="305"/>
      <c r="E208" s="309">
        <f t="shared" si="14"/>
        <v>142.608575</v>
      </c>
      <c r="K208" s="304">
        <v>69</v>
      </c>
      <c r="L208" s="304">
        <v>138</v>
      </c>
      <c r="M208" s="304">
        <v>3</v>
      </c>
      <c r="N208" s="305"/>
      <c r="O208" s="309">
        <f t="shared" si="13"/>
        <v>57.043429999999994</v>
      </c>
      <c r="P208" s="30"/>
    </row>
    <row r="209" spans="1:16" x14ac:dyDescent="0.2">
      <c r="A209" s="304">
        <v>70</v>
      </c>
      <c r="B209" s="304">
        <v>280</v>
      </c>
      <c r="C209" s="304">
        <v>4</v>
      </c>
      <c r="D209" s="305"/>
      <c r="E209" s="309">
        <f t="shared" si="14"/>
        <v>115.72579999999999</v>
      </c>
      <c r="K209" s="304">
        <v>70</v>
      </c>
      <c r="L209" s="304">
        <v>350</v>
      </c>
      <c r="M209" s="304">
        <v>2</v>
      </c>
      <c r="N209" s="305"/>
      <c r="O209" s="309">
        <f t="shared" si="13"/>
        <v>144.65724999999998</v>
      </c>
      <c r="P209" s="30"/>
    </row>
    <row r="210" spans="1:16" x14ac:dyDescent="0.2">
      <c r="A210" s="304">
        <v>71</v>
      </c>
      <c r="B210" s="304">
        <v>142</v>
      </c>
      <c r="C210" s="304">
        <v>2</v>
      </c>
      <c r="D210" s="305"/>
      <c r="E210" s="309">
        <f t="shared" si="14"/>
        <v>58.682369999999992</v>
      </c>
      <c r="K210" s="304">
        <v>71</v>
      </c>
      <c r="L210" s="304">
        <v>142</v>
      </c>
      <c r="M210" s="304">
        <v>5</v>
      </c>
      <c r="N210" s="305"/>
      <c r="O210" s="309">
        <f t="shared" si="13"/>
        <v>58.682369999999992</v>
      </c>
      <c r="P210" s="30"/>
    </row>
    <row r="211" spans="1:16" x14ac:dyDescent="0.2">
      <c r="A211" s="304">
        <v>72</v>
      </c>
      <c r="B211" s="304">
        <v>216</v>
      </c>
      <c r="C211" s="304">
        <v>3</v>
      </c>
      <c r="D211" s="305"/>
      <c r="E211" s="309">
        <f t="shared" si="14"/>
        <v>89.252759999999995</v>
      </c>
      <c r="K211" s="304">
        <v>72</v>
      </c>
      <c r="L211" s="304">
        <v>288</v>
      </c>
      <c r="M211" s="304">
        <v>2</v>
      </c>
      <c r="N211" s="305"/>
      <c r="O211" s="309">
        <f t="shared" si="13"/>
        <v>119.00367999999999</v>
      </c>
      <c r="P211" s="30"/>
    </row>
    <row r="212" spans="1:16" x14ac:dyDescent="0.2">
      <c r="A212" s="304">
        <v>73</v>
      </c>
      <c r="B212" s="304">
        <v>73</v>
      </c>
      <c r="C212" s="304">
        <v>1</v>
      </c>
      <c r="D212" s="305"/>
      <c r="E212" s="309">
        <f t="shared" si="14"/>
        <v>30.160654999999998</v>
      </c>
      <c r="K212" s="304">
        <v>73</v>
      </c>
      <c r="L212" s="304">
        <v>146</v>
      </c>
      <c r="M212" s="304">
        <v>4</v>
      </c>
      <c r="N212" s="305"/>
      <c r="O212" s="309">
        <f t="shared" si="13"/>
        <v>60.321309999999997</v>
      </c>
      <c r="P212" s="30"/>
    </row>
    <row r="213" spans="1:16" x14ac:dyDescent="0.2">
      <c r="A213" s="304">
        <v>74</v>
      </c>
      <c r="B213" s="304">
        <v>148</v>
      </c>
      <c r="C213" s="304">
        <v>2</v>
      </c>
      <c r="D213" s="305"/>
      <c r="E213" s="309">
        <f t="shared" si="14"/>
        <v>61.140779999999999</v>
      </c>
      <c r="K213" s="304">
        <v>74</v>
      </c>
      <c r="L213" s="304">
        <v>0</v>
      </c>
      <c r="M213" s="304">
        <v>2</v>
      </c>
      <c r="N213" s="305"/>
      <c r="O213" s="309">
        <f t="shared" si="13"/>
        <v>0</v>
      </c>
      <c r="P213" s="30"/>
    </row>
    <row r="214" spans="1:16" x14ac:dyDescent="0.2">
      <c r="A214" s="304">
        <v>75</v>
      </c>
      <c r="B214" s="304">
        <v>300</v>
      </c>
      <c r="C214" s="304">
        <v>4</v>
      </c>
      <c r="D214" s="305"/>
      <c r="E214" s="309">
        <f t="shared" si="14"/>
        <v>123.9205</v>
      </c>
      <c r="K214" s="304">
        <v>75</v>
      </c>
      <c r="L214" s="304">
        <v>225</v>
      </c>
      <c r="M214" s="304">
        <v>0</v>
      </c>
      <c r="N214" s="305"/>
      <c r="O214" s="309">
        <f t="shared" si="13"/>
        <v>92.940375000000003</v>
      </c>
      <c r="P214" s="30"/>
    </row>
    <row r="215" spans="1:16" x14ac:dyDescent="0.2">
      <c r="A215" s="304">
        <v>76</v>
      </c>
      <c r="B215" s="304">
        <v>380</v>
      </c>
      <c r="C215" s="304">
        <v>5</v>
      </c>
      <c r="D215" s="305"/>
      <c r="E215" s="309">
        <f t="shared" si="14"/>
        <v>156.94929999999999</v>
      </c>
      <c r="K215" s="304">
        <v>76</v>
      </c>
      <c r="L215" s="304">
        <v>152</v>
      </c>
      <c r="M215" s="304">
        <v>3</v>
      </c>
      <c r="N215" s="305"/>
      <c r="O215" s="309">
        <f t="shared" si="13"/>
        <v>62.779719999999998</v>
      </c>
      <c r="P215" s="30"/>
    </row>
    <row r="216" spans="1:16" x14ac:dyDescent="0.2">
      <c r="A216" s="304">
        <v>77</v>
      </c>
      <c r="B216" s="304">
        <v>308</v>
      </c>
      <c r="C216" s="304">
        <v>4</v>
      </c>
      <c r="D216" s="305"/>
      <c r="E216" s="309">
        <f t="shared" si="14"/>
        <v>127.19838</v>
      </c>
      <c r="K216" s="304">
        <v>77</v>
      </c>
      <c r="L216" s="304">
        <v>0</v>
      </c>
      <c r="M216" s="304">
        <v>2</v>
      </c>
      <c r="N216" s="305"/>
      <c r="O216" s="309">
        <f t="shared" si="13"/>
        <v>0</v>
      </c>
      <c r="P216" s="30"/>
    </row>
    <row r="217" spans="1:16" x14ac:dyDescent="0.2">
      <c r="A217" s="304">
        <v>78</v>
      </c>
      <c r="B217" s="304">
        <v>78</v>
      </c>
      <c r="C217" s="304">
        <v>1</v>
      </c>
      <c r="D217" s="305"/>
      <c r="E217" s="309">
        <f t="shared" si="14"/>
        <v>32.209329999999994</v>
      </c>
      <c r="K217" s="304">
        <v>78</v>
      </c>
      <c r="L217" s="304">
        <v>156</v>
      </c>
      <c r="M217" s="304">
        <v>0</v>
      </c>
      <c r="N217" s="305"/>
      <c r="O217" s="309">
        <f t="shared" si="13"/>
        <v>64.418659999999988</v>
      </c>
      <c r="P217" s="30"/>
    </row>
    <row r="218" spans="1:16" x14ac:dyDescent="0.2">
      <c r="A218" s="304">
        <v>79</v>
      </c>
      <c r="B218" s="304">
        <v>79</v>
      </c>
      <c r="C218" s="304">
        <v>1</v>
      </c>
      <c r="D218" s="305"/>
      <c r="E218" s="309">
        <f t="shared" si="14"/>
        <v>32.619064999999999</v>
      </c>
      <c r="K218" s="304">
        <v>79</v>
      </c>
      <c r="L218" s="304">
        <v>79</v>
      </c>
      <c r="M218" s="304">
        <v>2</v>
      </c>
      <c r="N218" s="305"/>
      <c r="O218" s="309">
        <f t="shared" si="13"/>
        <v>32.619064999999999</v>
      </c>
      <c r="P218" s="30"/>
    </row>
    <row r="219" spans="1:16" x14ac:dyDescent="0.2">
      <c r="A219" s="304">
        <v>80</v>
      </c>
      <c r="B219" s="304">
        <v>80</v>
      </c>
      <c r="C219" s="304">
        <v>1</v>
      </c>
      <c r="D219" s="305"/>
      <c r="E219" s="309">
        <f t="shared" si="14"/>
        <v>33.028799999999997</v>
      </c>
      <c r="K219" s="304">
        <v>80</v>
      </c>
      <c r="L219" s="304">
        <v>240</v>
      </c>
      <c r="M219" s="304">
        <v>1</v>
      </c>
      <c r="N219" s="305"/>
      <c r="O219" s="309">
        <f t="shared" si="13"/>
        <v>99.086399999999998</v>
      </c>
      <c r="P219" s="30"/>
    </row>
    <row r="220" spans="1:16" x14ac:dyDescent="0.2">
      <c r="A220" s="304">
        <v>81</v>
      </c>
      <c r="B220" s="304">
        <v>162</v>
      </c>
      <c r="C220" s="304">
        <v>2</v>
      </c>
      <c r="D220" s="305"/>
      <c r="E220" s="309">
        <f t="shared" si="14"/>
        <v>66.877069999999989</v>
      </c>
      <c r="K220" s="304">
        <v>81</v>
      </c>
      <c r="L220" s="304">
        <v>162</v>
      </c>
      <c r="M220" s="304">
        <v>3</v>
      </c>
      <c r="N220" s="305"/>
      <c r="O220" s="309">
        <f t="shared" si="13"/>
        <v>66.877069999999989</v>
      </c>
      <c r="P220" s="30"/>
    </row>
    <row r="221" spans="1:16" x14ac:dyDescent="0.2">
      <c r="A221" s="304">
        <v>82</v>
      </c>
      <c r="B221" s="304">
        <v>164</v>
      </c>
      <c r="C221" s="304">
        <v>2</v>
      </c>
      <c r="D221" s="305"/>
      <c r="E221" s="309">
        <f t="shared" si="14"/>
        <v>67.696539999999999</v>
      </c>
      <c r="K221" s="304">
        <v>82</v>
      </c>
      <c r="L221" s="304">
        <v>164</v>
      </c>
      <c r="M221" s="304">
        <v>2</v>
      </c>
      <c r="N221" s="305"/>
      <c r="O221" s="309">
        <f t="shared" si="13"/>
        <v>67.696539999999999</v>
      </c>
      <c r="P221" s="30"/>
    </row>
    <row r="222" spans="1:16" x14ac:dyDescent="0.2">
      <c r="A222" s="304">
        <v>83</v>
      </c>
      <c r="B222" s="304">
        <v>249</v>
      </c>
      <c r="C222" s="304">
        <v>3</v>
      </c>
      <c r="D222" s="305"/>
      <c r="E222" s="309">
        <f t="shared" si="14"/>
        <v>102.77401499999999</v>
      </c>
      <c r="K222" s="304">
        <v>83</v>
      </c>
      <c r="L222" s="304">
        <v>166</v>
      </c>
      <c r="M222" s="304">
        <v>2</v>
      </c>
      <c r="N222" s="305"/>
      <c r="O222" s="309">
        <f t="shared" si="13"/>
        <v>68.516009999999994</v>
      </c>
      <c r="P222" s="30"/>
    </row>
    <row r="223" spans="1:16" x14ac:dyDescent="0.2">
      <c r="A223" s="304">
        <v>84</v>
      </c>
      <c r="B223" s="304">
        <v>84</v>
      </c>
      <c r="C223" s="304">
        <v>1</v>
      </c>
      <c r="D223" s="305"/>
      <c r="E223" s="309">
        <f t="shared" si="14"/>
        <v>34.667740000000002</v>
      </c>
      <c r="K223" s="304">
        <v>84</v>
      </c>
      <c r="L223" s="304">
        <v>168</v>
      </c>
      <c r="M223" s="304">
        <v>2</v>
      </c>
      <c r="N223" s="305"/>
      <c r="O223" s="309">
        <f t="shared" si="13"/>
        <v>69.335480000000004</v>
      </c>
      <c r="P223" s="30"/>
    </row>
    <row r="224" spans="1:16" x14ac:dyDescent="0.2">
      <c r="A224" s="304">
        <v>85</v>
      </c>
      <c r="B224" s="304">
        <v>85</v>
      </c>
      <c r="C224" s="304">
        <v>1</v>
      </c>
      <c r="D224" s="305"/>
      <c r="E224" s="309">
        <f t="shared" si="14"/>
        <v>35.077475</v>
      </c>
      <c r="K224" s="304">
        <v>85</v>
      </c>
      <c r="L224" s="304">
        <v>255</v>
      </c>
      <c r="M224" s="304">
        <v>2</v>
      </c>
      <c r="N224" s="305"/>
      <c r="O224" s="309">
        <f t="shared" si="13"/>
        <v>105.23242499999999</v>
      </c>
      <c r="P224" s="30"/>
    </row>
    <row r="225" spans="1:17" x14ac:dyDescent="0.2">
      <c r="A225" s="304">
        <v>86</v>
      </c>
      <c r="B225" s="304">
        <v>602</v>
      </c>
      <c r="C225" s="304">
        <v>7</v>
      </c>
      <c r="D225" s="305"/>
      <c r="E225" s="309">
        <f t="shared" si="14"/>
        <v>248.41047</v>
      </c>
      <c r="K225" s="304">
        <v>86</v>
      </c>
      <c r="L225" s="304">
        <v>86</v>
      </c>
      <c r="M225" s="304">
        <v>3</v>
      </c>
      <c r="N225" s="305"/>
      <c r="O225" s="309">
        <f t="shared" si="13"/>
        <v>35.487209999999997</v>
      </c>
      <c r="P225" s="30"/>
    </row>
    <row r="226" spans="1:17" x14ac:dyDescent="0.2">
      <c r="A226" s="304">
        <v>87</v>
      </c>
      <c r="B226" s="304">
        <v>0</v>
      </c>
      <c r="C226" s="304">
        <v>0</v>
      </c>
      <c r="D226" s="305"/>
      <c r="E226" s="309">
        <f t="shared" si="14"/>
        <v>0</v>
      </c>
      <c r="K226" s="304">
        <v>87</v>
      </c>
      <c r="L226" s="304">
        <v>174</v>
      </c>
      <c r="M226" s="304">
        <v>1</v>
      </c>
      <c r="N226" s="305"/>
      <c r="O226" s="309">
        <f t="shared" si="13"/>
        <v>71.79388999999999</v>
      </c>
      <c r="P226" s="30"/>
    </row>
    <row r="227" spans="1:17" x14ac:dyDescent="0.2">
      <c r="A227" s="304">
        <v>88</v>
      </c>
      <c r="B227" s="304">
        <v>88</v>
      </c>
      <c r="C227" s="304">
        <v>1</v>
      </c>
      <c r="D227" s="305"/>
      <c r="E227" s="309">
        <f t="shared" si="14"/>
        <v>36.306679999999993</v>
      </c>
      <c r="G227" s="30" t="s">
        <v>5</v>
      </c>
      <c r="K227" s="304">
        <v>88</v>
      </c>
      <c r="L227" s="304">
        <v>88</v>
      </c>
      <c r="M227" s="304">
        <v>2</v>
      </c>
      <c r="N227" s="305"/>
      <c r="O227" s="309">
        <f t="shared" si="13"/>
        <v>36.306679999999993</v>
      </c>
      <c r="P227" s="30"/>
      <c r="Q227" s="30" t="s">
        <v>5</v>
      </c>
    </row>
    <row r="228" spans="1:17" x14ac:dyDescent="0.2">
      <c r="A228" s="304">
        <v>89</v>
      </c>
      <c r="B228" s="304">
        <v>89</v>
      </c>
      <c r="C228" s="304">
        <v>1</v>
      </c>
      <c r="D228" s="305"/>
      <c r="E228" s="309">
        <f t="shared" si="14"/>
        <v>36.716414999999998</v>
      </c>
      <c r="K228" s="304">
        <v>89</v>
      </c>
      <c r="L228" s="304">
        <v>178</v>
      </c>
      <c r="M228" s="304">
        <v>1</v>
      </c>
      <c r="N228" s="305"/>
      <c r="O228" s="309">
        <f t="shared" si="13"/>
        <v>73.432829999999996</v>
      </c>
      <c r="P228" s="30"/>
    </row>
    <row r="229" spans="1:17" x14ac:dyDescent="0.2">
      <c r="A229" s="304">
        <v>90</v>
      </c>
      <c r="B229" s="304">
        <v>270</v>
      </c>
      <c r="C229" s="304">
        <v>3</v>
      </c>
      <c r="D229" s="305"/>
      <c r="E229" s="309">
        <f t="shared" si="14"/>
        <v>111.37845</v>
      </c>
      <c r="K229" s="304">
        <v>90</v>
      </c>
      <c r="L229" s="304">
        <v>0</v>
      </c>
      <c r="M229" s="304">
        <v>2</v>
      </c>
      <c r="N229" s="305"/>
      <c r="O229" s="309">
        <f t="shared" si="13"/>
        <v>0</v>
      </c>
      <c r="P229" s="30"/>
    </row>
    <row r="230" spans="1:17" x14ac:dyDescent="0.2">
      <c r="A230" s="304">
        <v>91</v>
      </c>
      <c r="B230" s="304">
        <v>182</v>
      </c>
      <c r="C230" s="304">
        <v>2</v>
      </c>
      <c r="D230" s="305"/>
      <c r="E230" s="309">
        <f t="shared" si="14"/>
        <v>75.071770000000001</v>
      </c>
      <c r="G230" s="30" t="s">
        <v>14</v>
      </c>
      <c r="K230" s="304">
        <v>91</v>
      </c>
      <c r="L230" s="304">
        <v>91</v>
      </c>
      <c r="M230" s="304">
        <v>0</v>
      </c>
      <c r="N230" s="305"/>
      <c r="O230" s="309">
        <f t="shared" si="13"/>
        <v>37.535885</v>
      </c>
      <c r="P230" s="30"/>
      <c r="Q230" s="30" t="s">
        <v>14</v>
      </c>
    </row>
    <row r="231" spans="1:17" x14ac:dyDescent="0.2">
      <c r="A231" s="304">
        <v>92</v>
      </c>
      <c r="B231" s="304">
        <v>0</v>
      </c>
      <c r="C231" s="304">
        <v>0</v>
      </c>
      <c r="D231" s="305"/>
      <c r="E231" s="309">
        <f t="shared" si="14"/>
        <v>0</v>
      </c>
      <c r="G231" s="30" t="s">
        <v>217</v>
      </c>
      <c r="K231" s="304">
        <v>92</v>
      </c>
      <c r="L231" s="304">
        <v>276</v>
      </c>
      <c r="M231" s="304">
        <v>1</v>
      </c>
      <c r="N231" s="305"/>
      <c r="O231" s="309">
        <f t="shared" si="13"/>
        <v>113.83685999999999</v>
      </c>
      <c r="P231" s="30"/>
      <c r="Q231" s="30" t="s">
        <v>217</v>
      </c>
    </row>
    <row r="232" spans="1:17" x14ac:dyDescent="0.2">
      <c r="A232" s="304">
        <v>93</v>
      </c>
      <c r="B232" s="304">
        <v>93</v>
      </c>
      <c r="C232" s="304">
        <v>1</v>
      </c>
      <c r="D232" s="305"/>
      <c r="E232" s="309">
        <f t="shared" si="14"/>
        <v>38.355354999999996</v>
      </c>
      <c r="K232" s="304">
        <v>93</v>
      </c>
      <c r="L232" s="304">
        <v>186</v>
      </c>
      <c r="M232" s="304">
        <v>3</v>
      </c>
      <c r="N232" s="305"/>
      <c r="O232" s="309">
        <f t="shared" si="13"/>
        <v>76.710709999999992</v>
      </c>
      <c r="P232" s="30"/>
    </row>
    <row r="233" spans="1:17" x14ac:dyDescent="0.2">
      <c r="A233" s="304">
        <v>94</v>
      </c>
      <c r="B233" s="304">
        <v>282</v>
      </c>
      <c r="C233" s="304">
        <v>3</v>
      </c>
      <c r="D233" s="305"/>
      <c r="E233" s="309">
        <f t="shared" si="14"/>
        <v>116.29526999999999</v>
      </c>
      <c r="K233" s="304">
        <v>94</v>
      </c>
      <c r="L233" s="304">
        <v>94</v>
      </c>
      <c r="M233" s="304">
        <v>2</v>
      </c>
      <c r="N233" s="305"/>
      <c r="O233" s="309">
        <f t="shared" si="13"/>
        <v>38.765090000000001</v>
      </c>
      <c r="P233" s="30"/>
    </row>
    <row r="234" spans="1:17" x14ac:dyDescent="0.2">
      <c r="A234" s="304">
        <v>95</v>
      </c>
      <c r="B234" s="304">
        <v>190</v>
      </c>
      <c r="C234" s="304">
        <v>2</v>
      </c>
      <c r="D234" s="305"/>
      <c r="E234" s="309">
        <f t="shared" si="14"/>
        <v>78.349649999999997</v>
      </c>
      <c r="G234" s="30" t="s">
        <v>11</v>
      </c>
      <c r="K234" s="304">
        <v>95</v>
      </c>
      <c r="L234" s="304">
        <v>285</v>
      </c>
      <c r="M234" s="304">
        <v>1</v>
      </c>
      <c r="N234" s="305"/>
      <c r="O234" s="309">
        <f t="shared" si="13"/>
        <v>117.524475</v>
      </c>
      <c r="P234" s="30"/>
      <c r="Q234" s="30" t="s">
        <v>11</v>
      </c>
    </row>
    <row r="235" spans="1:17" x14ac:dyDescent="0.2">
      <c r="A235" s="304">
        <v>96</v>
      </c>
      <c r="B235" s="304">
        <v>0</v>
      </c>
      <c r="C235" s="304">
        <v>0</v>
      </c>
      <c r="D235" s="305"/>
      <c r="E235" s="309">
        <f t="shared" si="14"/>
        <v>0</v>
      </c>
      <c r="K235" s="304">
        <v>96</v>
      </c>
      <c r="L235" s="304">
        <v>96</v>
      </c>
      <c r="M235" s="304">
        <v>3</v>
      </c>
      <c r="N235" s="305"/>
      <c r="O235" s="309">
        <f t="shared" si="13"/>
        <v>39.584560000000003</v>
      </c>
      <c r="P235" s="30"/>
    </row>
    <row r="236" spans="1:17" x14ac:dyDescent="0.2">
      <c r="A236" s="304">
        <v>97</v>
      </c>
      <c r="B236" s="304">
        <v>97</v>
      </c>
      <c r="C236" s="304">
        <v>1</v>
      </c>
      <c r="D236" s="305"/>
      <c r="E236" s="309">
        <f t="shared" si="14"/>
        <v>39.994294999999994</v>
      </c>
      <c r="K236" s="304">
        <v>97</v>
      </c>
      <c r="L236" s="304">
        <v>194</v>
      </c>
      <c r="M236" s="304">
        <v>1</v>
      </c>
      <c r="N236" s="305"/>
      <c r="O236" s="309">
        <f>(($C$134*L236)+($D$134*M237))*(1-N236)*5%</f>
        <v>79.988589999999988</v>
      </c>
      <c r="P236" s="30"/>
    </row>
    <row r="237" spans="1:17" x14ac:dyDescent="0.2">
      <c r="A237" s="304">
        <v>98</v>
      </c>
      <c r="B237" s="304">
        <v>98</v>
      </c>
      <c r="C237" s="304">
        <v>1</v>
      </c>
      <c r="D237" s="305"/>
      <c r="E237" s="309">
        <f t="shared" si="14"/>
        <v>40.404029999999999</v>
      </c>
      <c r="G237" s="30" t="s">
        <v>219</v>
      </c>
      <c r="K237" s="304">
        <v>98</v>
      </c>
      <c r="L237" s="304">
        <v>98</v>
      </c>
      <c r="M237" s="304">
        <v>2</v>
      </c>
      <c r="N237" s="305"/>
      <c r="O237" s="309">
        <f>(($C$134*L237)+($D$134*M238))*(1-N237)*5%</f>
        <v>40.404029999999999</v>
      </c>
      <c r="P237" s="30"/>
      <c r="Q237" s="30" t="s">
        <v>219</v>
      </c>
    </row>
    <row r="238" spans="1:17" x14ac:dyDescent="0.2">
      <c r="A238" s="304">
        <v>99</v>
      </c>
      <c r="B238" s="304">
        <v>0</v>
      </c>
      <c r="C238" s="304">
        <v>0</v>
      </c>
      <c r="D238" s="305"/>
      <c r="E238" s="309">
        <f t="shared" si="14"/>
        <v>0</v>
      </c>
      <c r="G238" s="30" t="s">
        <v>220</v>
      </c>
      <c r="K238" s="304">
        <v>99</v>
      </c>
      <c r="L238" s="304">
        <v>0</v>
      </c>
      <c r="M238" s="304">
        <v>1</v>
      </c>
      <c r="N238" s="305"/>
      <c r="O238" s="309">
        <f>(($C$134*L238)+($D$134*M239))*(1-N238)*5%</f>
        <v>0</v>
      </c>
      <c r="P238" s="30"/>
      <c r="Q238" s="30" t="s">
        <v>220</v>
      </c>
    </row>
    <row r="239" spans="1:17" x14ac:dyDescent="0.2">
      <c r="A239" s="304">
        <v>100</v>
      </c>
      <c r="B239" s="304">
        <v>100</v>
      </c>
      <c r="C239" s="304">
        <v>1</v>
      </c>
      <c r="D239" s="305"/>
      <c r="E239" s="309">
        <f t="shared" si="14"/>
        <v>41.223500000000001</v>
      </c>
      <c r="K239" s="304">
        <v>100</v>
      </c>
      <c r="L239" s="304">
        <v>0</v>
      </c>
      <c r="M239" s="304">
        <v>0</v>
      </c>
      <c r="N239" s="305"/>
      <c r="O239" s="309">
        <f>(($C$134*L239)+($D$134*M240))*(1-N239)*5%</f>
        <v>0</v>
      </c>
      <c r="P239" s="30"/>
    </row>
    <row r="240" spans="1:17" x14ac:dyDescent="0.2">
      <c r="A240" s="424" t="s">
        <v>207</v>
      </c>
      <c r="B240" s="423">
        <f>SUM(B140:B239)</f>
        <v>13145</v>
      </c>
      <c r="C240" s="311"/>
      <c r="D240" s="311"/>
      <c r="E240" s="312">
        <f>SUM(E140:E239)</f>
        <v>5388.1873794999974</v>
      </c>
      <c r="K240" s="424" t="s">
        <v>207</v>
      </c>
      <c r="L240" s="423">
        <f>SUM(L140:L239)</f>
        <v>13117</v>
      </c>
      <c r="M240" s="304">
        <v>0</v>
      </c>
      <c r="N240" s="311"/>
      <c r="O240" s="312">
        <f>SUM(O140:O239)</f>
        <v>5378.6099320000003</v>
      </c>
      <c r="P240" s="30"/>
    </row>
    <row r="244" spans="1:8" ht="15" x14ac:dyDescent="0.35">
      <c r="A244" s="422" t="s">
        <v>228</v>
      </c>
    </row>
    <row r="245" spans="1:8" x14ac:dyDescent="0.2">
      <c r="A245" s="295" t="s">
        <v>229</v>
      </c>
      <c r="B245" s="296"/>
      <c r="C245" s="296"/>
      <c r="D245" s="296"/>
    </row>
    <row r="246" spans="1:8" ht="15" x14ac:dyDescent="0.25">
      <c r="A246" s="297" t="s">
        <v>202</v>
      </c>
      <c r="B246" s="298"/>
      <c r="C246" s="298"/>
      <c r="D246" s="298"/>
      <c r="E246" s="294"/>
    </row>
    <row r="247" spans="1:8" ht="15" x14ac:dyDescent="0.25">
      <c r="A247" s="1074" t="s">
        <v>3</v>
      </c>
      <c r="B247" s="1075"/>
      <c r="C247" s="1118" t="s">
        <v>132</v>
      </c>
      <c r="D247" s="1118"/>
      <c r="E247" s="294"/>
    </row>
    <row r="248" spans="1:8" ht="15" x14ac:dyDescent="0.25">
      <c r="A248" s="1076"/>
      <c r="B248" s="1077"/>
      <c r="C248" s="299" t="s">
        <v>135</v>
      </c>
      <c r="D248" s="299" t="s">
        <v>136</v>
      </c>
      <c r="E248" s="294"/>
    </row>
    <row r="249" spans="1:8" ht="15" x14ac:dyDescent="0.25">
      <c r="A249" s="300" t="s">
        <v>137</v>
      </c>
      <c r="B249" s="301"/>
      <c r="C249" s="350">
        <v>4.7754000000000003</v>
      </c>
      <c r="D249" s="379"/>
    </row>
    <row r="250" spans="1:8" ht="15" x14ac:dyDescent="0.25">
      <c r="A250" s="302" t="s">
        <v>138</v>
      </c>
      <c r="B250" s="298"/>
      <c r="C250" s="493">
        <v>0.77149999999999996</v>
      </c>
      <c r="D250" s="380"/>
    </row>
    <row r="251" spans="1:8" ht="15" x14ac:dyDescent="0.25">
      <c r="A251" s="302" t="s">
        <v>139</v>
      </c>
      <c r="B251" s="298"/>
      <c r="C251" s="494">
        <v>0.71040000000000003</v>
      </c>
      <c r="D251" s="380"/>
    </row>
    <row r="252" spans="1:8" ht="15" x14ac:dyDescent="0.25">
      <c r="A252" s="302" t="s">
        <v>140</v>
      </c>
      <c r="B252" s="298"/>
      <c r="C252" s="303">
        <v>0.84489999999999998</v>
      </c>
      <c r="D252" s="380"/>
    </row>
    <row r="253" spans="1:8" ht="15" x14ac:dyDescent="0.25">
      <c r="A253" s="302" t="s">
        <v>141</v>
      </c>
      <c r="B253" s="298"/>
      <c r="C253" s="303">
        <v>0.7732</v>
      </c>
      <c r="D253" s="380"/>
    </row>
    <row r="254" spans="1:8" ht="15" x14ac:dyDescent="0.25">
      <c r="A254" s="302" t="s">
        <v>142</v>
      </c>
      <c r="B254" s="298"/>
      <c r="C254" s="381">
        <v>0.45689999999999997</v>
      </c>
      <c r="D254" s="382">
        <v>5</v>
      </c>
    </row>
    <row r="255" spans="1:8" ht="18" customHeight="1" x14ac:dyDescent="0.25">
      <c r="A255" s="383" t="s">
        <v>2</v>
      </c>
      <c r="B255" s="384"/>
      <c r="C255" s="385">
        <f>SUM(C249:C254)</f>
        <v>8.3323</v>
      </c>
      <c r="D255" s="386">
        <f>SUM(D249:D254)</f>
        <v>5</v>
      </c>
      <c r="E255" s="78"/>
      <c r="F255" s="78"/>
      <c r="G255" s="78"/>
      <c r="H255" s="78"/>
    </row>
    <row r="256" spans="1:8" x14ac:dyDescent="0.2">
      <c r="A256" s="296"/>
      <c r="B256" s="296"/>
      <c r="C256" s="296"/>
      <c r="D256" s="296"/>
    </row>
    <row r="257" spans="1:7" x14ac:dyDescent="0.2">
      <c r="A257" s="296"/>
      <c r="B257" s="296"/>
      <c r="C257" s="296"/>
      <c r="D257" s="296"/>
    </row>
    <row r="258" spans="1:7" x14ac:dyDescent="0.2">
      <c r="A258" s="296"/>
      <c r="B258" s="296"/>
      <c r="C258" s="296"/>
      <c r="D258" s="296"/>
    </row>
    <row r="259" spans="1:7" x14ac:dyDescent="0.2">
      <c r="A259" s="296"/>
      <c r="B259" s="296"/>
      <c r="C259" s="296"/>
      <c r="D259" s="296"/>
    </row>
    <row r="260" spans="1:7" ht="51" x14ac:dyDescent="0.2">
      <c r="A260" s="44" t="s">
        <v>203</v>
      </c>
      <c r="B260" s="306" t="s">
        <v>68</v>
      </c>
      <c r="C260" s="44" t="s">
        <v>204</v>
      </c>
      <c r="D260" s="44" t="s">
        <v>205</v>
      </c>
      <c r="E260" s="307" t="s">
        <v>206</v>
      </c>
    </row>
    <row r="261" spans="1:7" x14ac:dyDescent="0.2">
      <c r="A261" s="304">
        <v>1</v>
      </c>
      <c r="B261" s="304">
        <v>1</v>
      </c>
      <c r="C261" s="304">
        <v>1</v>
      </c>
      <c r="D261" s="308">
        <v>0.25</v>
      </c>
      <c r="E261" s="309">
        <f>(($C$255*B261)+($D$255*C261))*(1-D261)*5%</f>
        <v>0.49996124999999997</v>
      </c>
      <c r="F261" s="498"/>
      <c r="G261" s="499"/>
    </row>
    <row r="262" spans="1:7" x14ac:dyDescent="0.2">
      <c r="A262" s="304">
        <v>2</v>
      </c>
      <c r="B262" s="304">
        <v>2</v>
      </c>
      <c r="C262" s="304">
        <v>1</v>
      </c>
      <c r="D262" s="308">
        <v>0.25</v>
      </c>
      <c r="E262" s="309">
        <f>(($C$255*B262)+($D$255*C262))*(1-D262)*5%</f>
        <v>0.81242249999999994</v>
      </c>
      <c r="F262" s="498"/>
      <c r="G262" s="499"/>
    </row>
    <row r="263" spans="1:7" x14ac:dyDescent="0.2">
      <c r="A263" s="304">
        <v>3</v>
      </c>
      <c r="B263" s="304">
        <v>3</v>
      </c>
      <c r="C263" s="304">
        <v>1</v>
      </c>
      <c r="D263" s="308">
        <v>0.25</v>
      </c>
      <c r="E263" s="309">
        <f t="shared" ref="E263:E326" si="15">(($C$255*B263)+($D$255*C263))*(1-D263)*5%</f>
        <v>1.1248837500000002</v>
      </c>
      <c r="F263" s="498"/>
      <c r="G263" s="499"/>
    </row>
    <row r="264" spans="1:7" x14ac:dyDescent="0.2">
      <c r="A264" s="304">
        <v>4</v>
      </c>
      <c r="B264" s="304">
        <v>4</v>
      </c>
      <c r="C264" s="304">
        <v>1</v>
      </c>
      <c r="D264" s="308">
        <v>0.25</v>
      </c>
      <c r="E264" s="309">
        <f t="shared" si="15"/>
        <v>1.4373450000000001</v>
      </c>
      <c r="F264" s="498"/>
      <c r="G264" s="499"/>
    </row>
    <row r="265" spans="1:7" x14ac:dyDescent="0.2">
      <c r="A265" s="304">
        <v>5</v>
      </c>
      <c r="B265" s="304">
        <v>5</v>
      </c>
      <c r="C265" s="304">
        <v>1</v>
      </c>
      <c r="D265" s="308">
        <v>0.25</v>
      </c>
      <c r="E265" s="309">
        <f t="shared" si="15"/>
        <v>1.7498062500000005</v>
      </c>
      <c r="F265" s="498"/>
      <c r="G265" s="499"/>
    </row>
    <row r="266" spans="1:7" x14ac:dyDescent="0.2">
      <c r="A266" s="304">
        <v>6</v>
      </c>
      <c r="B266" s="304">
        <v>6</v>
      </c>
      <c r="C266" s="304">
        <v>1</v>
      </c>
      <c r="D266" s="308">
        <v>0.25</v>
      </c>
      <c r="E266" s="309">
        <f t="shared" si="15"/>
        <v>2.0622675000000004</v>
      </c>
      <c r="F266" s="498"/>
      <c r="G266" s="499"/>
    </row>
    <row r="267" spans="1:7" x14ac:dyDescent="0.2">
      <c r="A267" s="304">
        <v>7</v>
      </c>
      <c r="B267" s="304">
        <v>7</v>
      </c>
      <c r="C267" s="304">
        <v>1</v>
      </c>
      <c r="D267" s="308">
        <v>0.25</v>
      </c>
      <c r="E267" s="309">
        <f t="shared" si="15"/>
        <v>2.3747287500000001</v>
      </c>
      <c r="F267" s="498"/>
      <c r="G267" s="499"/>
    </row>
    <row r="268" spans="1:7" x14ac:dyDescent="0.2">
      <c r="A268" s="304">
        <v>8</v>
      </c>
      <c r="B268" s="304">
        <v>8</v>
      </c>
      <c r="C268" s="304">
        <v>1</v>
      </c>
      <c r="D268" s="308">
        <v>0.25</v>
      </c>
      <c r="E268" s="309">
        <f t="shared" si="15"/>
        <v>2.6871900000000002</v>
      </c>
      <c r="F268" s="498"/>
      <c r="G268" s="499"/>
    </row>
    <row r="269" spans="1:7" x14ac:dyDescent="0.2">
      <c r="A269" s="304">
        <v>9</v>
      </c>
      <c r="B269" s="304">
        <v>9</v>
      </c>
      <c r="C269" s="304">
        <v>1</v>
      </c>
      <c r="D269" s="308">
        <v>0.25</v>
      </c>
      <c r="E269" s="309">
        <f t="shared" si="15"/>
        <v>2.9996512500000003</v>
      </c>
      <c r="F269" s="498"/>
      <c r="G269" s="499"/>
    </row>
    <row r="270" spans="1:7" x14ac:dyDescent="0.2">
      <c r="A270" s="304">
        <v>10</v>
      </c>
      <c r="B270" s="304">
        <v>10</v>
      </c>
      <c r="C270" s="304">
        <v>1</v>
      </c>
      <c r="D270" s="308">
        <v>0.25</v>
      </c>
      <c r="E270" s="309">
        <f t="shared" si="15"/>
        <v>3.3121125000000009</v>
      </c>
      <c r="F270" s="498"/>
      <c r="G270" s="499"/>
    </row>
    <row r="271" spans="1:7" x14ac:dyDescent="0.2">
      <c r="A271" s="304">
        <v>11</v>
      </c>
      <c r="B271" s="304">
        <v>11</v>
      </c>
      <c r="C271" s="304">
        <v>1</v>
      </c>
      <c r="D271" s="308">
        <v>0.25</v>
      </c>
      <c r="E271" s="309">
        <f t="shared" si="15"/>
        <v>3.6245737499999997</v>
      </c>
      <c r="F271" s="498"/>
      <c r="G271" s="499"/>
    </row>
    <row r="272" spans="1:7" x14ac:dyDescent="0.2">
      <c r="A272" s="304">
        <v>12</v>
      </c>
      <c r="B272" s="304">
        <v>12</v>
      </c>
      <c r="C272" s="304">
        <v>1</v>
      </c>
      <c r="D272" s="308">
        <v>0.25</v>
      </c>
      <c r="E272" s="309">
        <f t="shared" si="15"/>
        <v>3.9370350000000003</v>
      </c>
      <c r="F272" s="498"/>
      <c r="G272" s="499"/>
    </row>
    <row r="273" spans="1:7" x14ac:dyDescent="0.2">
      <c r="A273" s="304">
        <v>13</v>
      </c>
      <c r="B273" s="304">
        <v>13</v>
      </c>
      <c r="C273" s="304">
        <v>1</v>
      </c>
      <c r="D273" s="308">
        <v>0.25</v>
      </c>
      <c r="E273" s="309">
        <f t="shared" si="15"/>
        <v>4.24949625</v>
      </c>
      <c r="F273" s="498"/>
      <c r="G273" s="499"/>
    </row>
    <row r="274" spans="1:7" x14ac:dyDescent="0.2">
      <c r="A274" s="304">
        <v>14</v>
      </c>
      <c r="B274" s="304">
        <v>14</v>
      </c>
      <c r="C274" s="304">
        <v>1</v>
      </c>
      <c r="D274" s="308">
        <v>0.25</v>
      </c>
      <c r="E274" s="309">
        <f t="shared" si="15"/>
        <v>4.5619575000000001</v>
      </c>
      <c r="F274" s="498"/>
      <c r="G274" s="499"/>
    </row>
    <row r="275" spans="1:7" x14ac:dyDescent="0.2">
      <c r="A275" s="304">
        <v>15</v>
      </c>
      <c r="B275" s="304">
        <v>15</v>
      </c>
      <c r="C275" s="304">
        <v>1</v>
      </c>
      <c r="D275" s="308">
        <v>0.25</v>
      </c>
      <c r="E275" s="309">
        <f t="shared" si="15"/>
        <v>4.8744187500000002</v>
      </c>
      <c r="F275" s="498"/>
      <c r="G275" s="499"/>
    </row>
    <row r="276" spans="1:7" x14ac:dyDescent="0.2">
      <c r="A276" s="304">
        <v>16</v>
      </c>
      <c r="B276" s="304">
        <v>16</v>
      </c>
      <c r="C276" s="304">
        <v>1</v>
      </c>
      <c r="D276" s="308">
        <v>0.15</v>
      </c>
      <c r="E276" s="309">
        <f t="shared" si="15"/>
        <v>5.8784640000000001</v>
      </c>
      <c r="F276" s="498"/>
      <c r="G276" s="499"/>
    </row>
    <row r="277" spans="1:7" x14ac:dyDescent="0.2">
      <c r="A277" s="304">
        <v>17</v>
      </c>
      <c r="B277" s="304">
        <v>17</v>
      </c>
      <c r="C277" s="304">
        <v>1</v>
      </c>
      <c r="D277" s="308">
        <v>0.1</v>
      </c>
      <c r="E277" s="309">
        <f t="shared" si="15"/>
        <v>6.5992095000000006</v>
      </c>
      <c r="F277" s="498"/>
      <c r="G277" s="499"/>
    </row>
    <row r="278" spans="1:7" x14ac:dyDescent="0.2">
      <c r="A278" s="304">
        <v>18</v>
      </c>
      <c r="B278" s="304">
        <v>18</v>
      </c>
      <c r="C278" s="304">
        <v>1</v>
      </c>
      <c r="D278" s="308">
        <v>0.1</v>
      </c>
      <c r="E278" s="309">
        <f t="shared" si="15"/>
        <v>6.9741630000000008</v>
      </c>
      <c r="F278" s="498"/>
      <c r="G278" s="499"/>
    </row>
    <row r="279" spans="1:7" x14ac:dyDescent="0.2">
      <c r="A279" s="304">
        <v>19</v>
      </c>
      <c r="B279" s="304">
        <v>19</v>
      </c>
      <c r="C279" s="304">
        <v>1</v>
      </c>
      <c r="D279" s="308">
        <v>0.05</v>
      </c>
      <c r="E279" s="309">
        <f t="shared" si="15"/>
        <v>7.7574007500000013</v>
      </c>
      <c r="F279" s="498"/>
      <c r="G279" s="499"/>
    </row>
    <row r="280" spans="1:7" x14ac:dyDescent="0.2">
      <c r="A280" s="304">
        <v>20</v>
      </c>
      <c r="B280" s="304">
        <v>20</v>
      </c>
      <c r="C280" s="304">
        <v>1</v>
      </c>
      <c r="D280" s="308">
        <v>0.05</v>
      </c>
      <c r="E280" s="309">
        <f t="shared" si="15"/>
        <v>8.1531850000000006</v>
      </c>
      <c r="F280" s="498"/>
      <c r="G280" s="499"/>
    </row>
    <row r="281" spans="1:7" x14ac:dyDescent="0.2">
      <c r="A281" s="304">
        <v>21</v>
      </c>
      <c r="B281" s="304">
        <v>21</v>
      </c>
      <c r="C281" s="304">
        <v>1</v>
      </c>
      <c r="D281" s="310"/>
      <c r="E281" s="309">
        <f t="shared" si="15"/>
        <v>8.9989150000000002</v>
      </c>
      <c r="F281" s="498"/>
      <c r="G281" s="499"/>
    </row>
    <row r="282" spans="1:7" x14ac:dyDescent="0.2">
      <c r="A282" s="304">
        <v>22</v>
      </c>
      <c r="B282" s="304">
        <v>22</v>
      </c>
      <c r="C282" s="304">
        <v>1</v>
      </c>
      <c r="D282" s="305"/>
      <c r="E282" s="309">
        <f t="shared" si="15"/>
        <v>9.4155300000000004</v>
      </c>
      <c r="F282" s="498"/>
      <c r="G282" s="499"/>
    </row>
    <row r="283" spans="1:7" x14ac:dyDescent="0.2">
      <c r="A283" s="304">
        <v>23</v>
      </c>
      <c r="B283" s="304">
        <v>23</v>
      </c>
      <c r="C283" s="304">
        <v>1</v>
      </c>
      <c r="D283" s="305"/>
      <c r="E283" s="309">
        <f t="shared" si="15"/>
        <v>9.8321450000000006</v>
      </c>
      <c r="F283" s="498"/>
      <c r="G283" s="499"/>
    </row>
    <row r="284" spans="1:7" x14ac:dyDescent="0.2">
      <c r="A284" s="304">
        <v>24</v>
      </c>
      <c r="B284" s="304">
        <v>24</v>
      </c>
      <c r="C284" s="304">
        <v>1</v>
      </c>
      <c r="D284" s="305"/>
      <c r="E284" s="309">
        <f t="shared" si="15"/>
        <v>10.248760000000001</v>
      </c>
      <c r="F284" s="498"/>
      <c r="G284" s="499"/>
    </row>
    <row r="285" spans="1:7" x14ac:dyDescent="0.2">
      <c r="A285" s="304">
        <v>25</v>
      </c>
      <c r="B285" s="304">
        <v>25</v>
      </c>
      <c r="C285" s="304">
        <v>1</v>
      </c>
      <c r="D285" s="305"/>
      <c r="E285" s="309">
        <f t="shared" si="15"/>
        <v>10.665375000000001</v>
      </c>
      <c r="F285" s="498"/>
      <c r="G285" s="499"/>
    </row>
    <row r="286" spans="1:7" x14ac:dyDescent="0.2">
      <c r="A286" s="304">
        <v>26</v>
      </c>
      <c r="B286" s="304">
        <v>26</v>
      </c>
      <c r="C286" s="304">
        <v>1</v>
      </c>
      <c r="D286" s="305"/>
      <c r="E286" s="309">
        <f t="shared" si="15"/>
        <v>11.081990000000001</v>
      </c>
      <c r="F286" s="498"/>
      <c r="G286" s="499"/>
    </row>
    <row r="287" spans="1:7" x14ac:dyDescent="0.2">
      <c r="A287" s="304">
        <v>27</v>
      </c>
      <c r="B287" s="304">
        <v>27</v>
      </c>
      <c r="C287" s="304">
        <v>1</v>
      </c>
      <c r="D287" s="305"/>
      <c r="E287" s="309">
        <f t="shared" si="15"/>
        <v>11.498605000000001</v>
      </c>
      <c r="F287" s="498"/>
      <c r="G287" s="499"/>
    </row>
    <row r="288" spans="1:7" x14ac:dyDescent="0.2">
      <c r="A288" s="304">
        <v>28</v>
      </c>
      <c r="B288" s="304">
        <v>28</v>
      </c>
      <c r="C288" s="304">
        <v>1</v>
      </c>
      <c r="D288" s="305"/>
      <c r="E288" s="309">
        <f t="shared" si="15"/>
        <v>11.91522</v>
      </c>
      <c r="F288" s="498"/>
      <c r="G288" s="499"/>
    </row>
    <row r="289" spans="1:7" x14ac:dyDescent="0.2">
      <c r="A289" s="304">
        <v>29</v>
      </c>
      <c r="B289" s="304">
        <v>29</v>
      </c>
      <c r="C289" s="304">
        <v>1</v>
      </c>
      <c r="D289" s="305"/>
      <c r="E289" s="309">
        <f t="shared" si="15"/>
        <v>12.331835</v>
      </c>
      <c r="F289" s="498"/>
      <c r="G289" s="499"/>
    </row>
    <row r="290" spans="1:7" x14ac:dyDescent="0.2">
      <c r="A290" s="304">
        <v>30</v>
      </c>
      <c r="B290" s="304">
        <v>30</v>
      </c>
      <c r="C290" s="304">
        <v>1</v>
      </c>
      <c r="D290" s="305"/>
      <c r="E290" s="309">
        <f t="shared" si="15"/>
        <v>12.74845</v>
      </c>
      <c r="F290" s="498"/>
      <c r="G290" s="499"/>
    </row>
    <row r="291" spans="1:7" x14ac:dyDescent="0.2">
      <c r="A291" s="304">
        <v>31</v>
      </c>
      <c r="B291" s="304">
        <v>31</v>
      </c>
      <c r="C291" s="304">
        <v>1</v>
      </c>
      <c r="D291" s="305"/>
      <c r="E291" s="309">
        <f t="shared" si="15"/>
        <v>13.165065000000002</v>
      </c>
      <c r="F291" s="498"/>
      <c r="G291" s="499"/>
    </row>
    <row r="292" spans="1:7" x14ac:dyDescent="0.2">
      <c r="A292" s="304">
        <v>32</v>
      </c>
      <c r="B292" s="304">
        <v>32</v>
      </c>
      <c r="C292" s="304">
        <v>1</v>
      </c>
      <c r="D292" s="305"/>
      <c r="E292" s="309">
        <f t="shared" si="15"/>
        <v>13.58168</v>
      </c>
      <c r="F292" s="498"/>
      <c r="G292" s="499"/>
    </row>
    <row r="293" spans="1:7" x14ac:dyDescent="0.2">
      <c r="A293" s="304">
        <v>33</v>
      </c>
      <c r="B293" s="304">
        <v>33</v>
      </c>
      <c r="C293" s="304">
        <v>1</v>
      </c>
      <c r="D293" s="305"/>
      <c r="E293" s="309">
        <f t="shared" si="15"/>
        <v>13.998294999999999</v>
      </c>
      <c r="F293" s="498"/>
      <c r="G293" s="499"/>
    </row>
    <row r="294" spans="1:7" x14ac:dyDescent="0.2">
      <c r="A294" s="304">
        <v>34</v>
      </c>
      <c r="B294" s="304">
        <v>34</v>
      </c>
      <c r="C294" s="304">
        <v>1</v>
      </c>
      <c r="D294" s="305"/>
      <c r="E294" s="309">
        <f t="shared" si="15"/>
        <v>14.414910000000001</v>
      </c>
      <c r="F294" s="498"/>
      <c r="G294" s="499"/>
    </row>
    <row r="295" spans="1:7" x14ac:dyDescent="0.2">
      <c r="A295" s="304">
        <v>35</v>
      </c>
      <c r="B295" s="304">
        <v>35</v>
      </c>
      <c r="C295" s="304">
        <v>1</v>
      </c>
      <c r="D295" s="305"/>
      <c r="E295" s="309">
        <f t="shared" si="15"/>
        <v>14.831524999999999</v>
      </c>
      <c r="F295" s="498"/>
      <c r="G295" s="499"/>
    </row>
    <row r="296" spans="1:7" x14ac:dyDescent="0.2">
      <c r="A296" s="304">
        <v>36</v>
      </c>
      <c r="B296" s="304">
        <v>36</v>
      </c>
      <c r="C296" s="304">
        <v>1</v>
      </c>
      <c r="D296" s="305"/>
      <c r="E296" s="309">
        <f t="shared" si="15"/>
        <v>15.248140000000001</v>
      </c>
      <c r="F296" s="498"/>
      <c r="G296" s="499"/>
    </row>
    <row r="297" spans="1:7" x14ac:dyDescent="0.2">
      <c r="A297" s="304">
        <v>37</v>
      </c>
      <c r="B297" s="304">
        <v>37</v>
      </c>
      <c r="C297" s="304">
        <v>1</v>
      </c>
      <c r="D297" s="305"/>
      <c r="E297" s="309">
        <f t="shared" si="15"/>
        <v>15.664755</v>
      </c>
      <c r="F297" s="498"/>
      <c r="G297" s="499"/>
    </row>
    <row r="298" spans="1:7" x14ac:dyDescent="0.2">
      <c r="A298" s="304">
        <v>38</v>
      </c>
      <c r="B298" s="304">
        <v>38</v>
      </c>
      <c r="C298" s="304">
        <v>1</v>
      </c>
      <c r="D298" s="305"/>
      <c r="E298" s="309">
        <f t="shared" si="15"/>
        <v>16.081370000000003</v>
      </c>
      <c r="F298" s="498"/>
      <c r="G298" s="499"/>
    </row>
    <row r="299" spans="1:7" x14ac:dyDescent="0.2">
      <c r="A299" s="304">
        <v>39</v>
      </c>
      <c r="B299" s="304">
        <v>39</v>
      </c>
      <c r="C299" s="304">
        <v>1</v>
      </c>
      <c r="D299" s="305"/>
      <c r="E299" s="309">
        <f t="shared" si="15"/>
        <v>16.497985</v>
      </c>
      <c r="F299" s="498"/>
      <c r="G299" s="499"/>
    </row>
    <row r="300" spans="1:7" x14ac:dyDescent="0.2">
      <c r="A300" s="304">
        <v>40</v>
      </c>
      <c r="B300" s="304">
        <v>40</v>
      </c>
      <c r="C300" s="304">
        <v>1</v>
      </c>
      <c r="D300" s="305"/>
      <c r="E300" s="309">
        <f t="shared" si="15"/>
        <v>16.914600000000004</v>
      </c>
      <c r="F300" s="498"/>
      <c r="G300" s="499"/>
    </row>
    <row r="301" spans="1:7" x14ac:dyDescent="0.2">
      <c r="A301" s="304">
        <v>41</v>
      </c>
      <c r="B301" s="304">
        <v>41</v>
      </c>
      <c r="C301" s="304">
        <v>1</v>
      </c>
      <c r="D301" s="305"/>
      <c r="E301" s="309">
        <f t="shared" si="15"/>
        <v>17.331215</v>
      </c>
      <c r="F301" s="498"/>
      <c r="G301" s="499"/>
    </row>
    <row r="302" spans="1:7" x14ac:dyDescent="0.2">
      <c r="A302" s="304">
        <v>42</v>
      </c>
      <c r="B302" s="304">
        <v>42</v>
      </c>
      <c r="C302" s="304">
        <v>1</v>
      </c>
      <c r="D302" s="305"/>
      <c r="E302" s="309">
        <f t="shared" si="15"/>
        <v>17.74783</v>
      </c>
      <c r="F302" s="498"/>
      <c r="G302" s="499"/>
    </row>
    <row r="303" spans="1:7" x14ac:dyDescent="0.2">
      <c r="A303" s="304">
        <v>43</v>
      </c>
      <c r="B303" s="304">
        <v>43</v>
      </c>
      <c r="C303" s="304">
        <v>1</v>
      </c>
      <c r="D303" s="305"/>
      <c r="E303" s="309">
        <f t="shared" si="15"/>
        <v>18.164445000000001</v>
      </c>
      <c r="F303" s="498"/>
      <c r="G303" s="499"/>
    </row>
    <row r="304" spans="1:7" x14ac:dyDescent="0.2">
      <c r="A304" s="304">
        <v>44</v>
      </c>
      <c r="B304" s="304">
        <v>44</v>
      </c>
      <c r="C304" s="304">
        <v>1</v>
      </c>
      <c r="D304" s="305"/>
      <c r="E304" s="309">
        <f t="shared" si="15"/>
        <v>18.581060000000001</v>
      </c>
      <c r="F304" s="498"/>
      <c r="G304" s="499"/>
    </row>
    <row r="305" spans="1:7" x14ac:dyDescent="0.2">
      <c r="A305" s="304">
        <v>45</v>
      </c>
      <c r="B305" s="304">
        <v>45</v>
      </c>
      <c r="C305" s="304">
        <v>1</v>
      </c>
      <c r="D305" s="305"/>
      <c r="E305" s="309">
        <f t="shared" si="15"/>
        <v>18.997675000000001</v>
      </c>
      <c r="F305" s="498"/>
      <c r="G305" s="499"/>
    </row>
    <row r="306" spans="1:7" x14ac:dyDescent="0.2">
      <c r="A306" s="304">
        <v>46</v>
      </c>
      <c r="B306" s="304">
        <v>46</v>
      </c>
      <c r="C306" s="304">
        <v>1</v>
      </c>
      <c r="D306" s="305"/>
      <c r="E306" s="309">
        <f t="shared" si="15"/>
        <v>19.414290000000001</v>
      </c>
      <c r="F306" s="498"/>
      <c r="G306" s="499"/>
    </row>
    <row r="307" spans="1:7" x14ac:dyDescent="0.2">
      <c r="A307" s="304">
        <v>47</v>
      </c>
      <c r="B307" s="304">
        <v>47</v>
      </c>
      <c r="C307" s="304">
        <v>1</v>
      </c>
      <c r="D307" s="305"/>
      <c r="E307" s="309">
        <f t="shared" si="15"/>
        <v>19.830905000000001</v>
      </c>
      <c r="F307" s="498"/>
      <c r="G307" s="499"/>
    </row>
    <row r="308" spans="1:7" x14ac:dyDescent="0.2">
      <c r="A308" s="304">
        <v>48</v>
      </c>
      <c r="B308" s="304">
        <v>48</v>
      </c>
      <c r="C308" s="304">
        <v>1</v>
      </c>
      <c r="D308" s="305"/>
      <c r="E308" s="309">
        <f t="shared" si="15"/>
        <v>20.247520000000002</v>
      </c>
      <c r="F308" s="498"/>
      <c r="G308" s="499"/>
    </row>
    <row r="309" spans="1:7" x14ac:dyDescent="0.2">
      <c r="A309" s="304">
        <v>49</v>
      </c>
      <c r="B309" s="304">
        <v>49</v>
      </c>
      <c r="C309" s="304">
        <v>1</v>
      </c>
      <c r="D309" s="305"/>
      <c r="E309" s="309">
        <f t="shared" si="15"/>
        <v>20.664135000000002</v>
      </c>
      <c r="F309" s="498"/>
      <c r="G309" s="499"/>
    </row>
    <row r="310" spans="1:7" x14ac:dyDescent="0.2">
      <c r="A310" s="304">
        <v>50</v>
      </c>
      <c r="B310" s="304">
        <v>50</v>
      </c>
      <c r="C310" s="304">
        <v>1</v>
      </c>
      <c r="D310" s="305"/>
      <c r="E310" s="309">
        <f t="shared" si="15"/>
        <v>21.080750000000002</v>
      </c>
      <c r="F310" s="498"/>
      <c r="G310" s="499"/>
    </row>
    <row r="311" spans="1:7" x14ac:dyDescent="0.2">
      <c r="A311" s="304">
        <v>51</v>
      </c>
      <c r="B311" s="304">
        <v>51</v>
      </c>
      <c r="C311" s="304">
        <v>1</v>
      </c>
      <c r="D311" s="305"/>
      <c r="E311" s="309">
        <f t="shared" si="15"/>
        <v>21.497365000000002</v>
      </c>
      <c r="F311" s="498"/>
      <c r="G311" s="499"/>
    </row>
    <row r="312" spans="1:7" x14ac:dyDescent="0.2">
      <c r="A312" s="304">
        <v>52</v>
      </c>
      <c r="B312" s="304">
        <v>52</v>
      </c>
      <c r="C312" s="304">
        <v>1</v>
      </c>
      <c r="D312" s="305"/>
      <c r="E312" s="309">
        <f t="shared" si="15"/>
        <v>21.913980000000002</v>
      </c>
      <c r="F312" s="498"/>
      <c r="G312" s="499"/>
    </row>
    <row r="313" spans="1:7" x14ac:dyDescent="0.2">
      <c r="A313" s="304">
        <v>53</v>
      </c>
      <c r="B313" s="304">
        <v>53</v>
      </c>
      <c r="C313" s="304">
        <v>1</v>
      </c>
      <c r="D313" s="305"/>
      <c r="E313" s="309">
        <f t="shared" si="15"/>
        <v>22.330595000000002</v>
      </c>
      <c r="F313" s="498"/>
      <c r="G313" s="499"/>
    </row>
    <row r="314" spans="1:7" x14ac:dyDescent="0.2">
      <c r="A314" s="304">
        <v>54</v>
      </c>
      <c r="B314" s="304">
        <v>54</v>
      </c>
      <c r="C314" s="304">
        <v>1</v>
      </c>
      <c r="D314" s="305"/>
      <c r="E314" s="309">
        <f t="shared" si="15"/>
        <v>22.747210000000003</v>
      </c>
      <c r="F314" s="498"/>
      <c r="G314" s="499"/>
    </row>
    <row r="315" spans="1:7" x14ac:dyDescent="0.2">
      <c r="A315" s="304">
        <v>55</v>
      </c>
      <c r="B315" s="304">
        <v>55</v>
      </c>
      <c r="C315" s="304">
        <v>1</v>
      </c>
      <c r="D315" s="305"/>
      <c r="E315" s="309">
        <f t="shared" si="15"/>
        <v>23.163825000000003</v>
      </c>
      <c r="F315" s="498"/>
      <c r="G315" s="499"/>
    </row>
    <row r="316" spans="1:7" x14ac:dyDescent="0.2">
      <c r="A316" s="304">
        <v>56</v>
      </c>
      <c r="B316" s="304">
        <v>56</v>
      </c>
      <c r="C316" s="304">
        <v>1</v>
      </c>
      <c r="D316" s="305"/>
      <c r="E316" s="309">
        <f t="shared" si="15"/>
        <v>23.580439999999999</v>
      </c>
      <c r="F316" s="498"/>
      <c r="G316" s="499"/>
    </row>
    <row r="317" spans="1:7" x14ac:dyDescent="0.2">
      <c r="A317" s="304">
        <v>57</v>
      </c>
      <c r="B317" s="304">
        <v>57</v>
      </c>
      <c r="C317" s="304">
        <v>1</v>
      </c>
      <c r="D317" s="305"/>
      <c r="E317" s="309">
        <f t="shared" si="15"/>
        <v>23.997055000000003</v>
      </c>
      <c r="F317" s="498"/>
      <c r="G317" s="499"/>
    </row>
    <row r="318" spans="1:7" x14ac:dyDescent="0.2">
      <c r="A318" s="304">
        <v>58</v>
      </c>
      <c r="B318" s="304">
        <v>58</v>
      </c>
      <c r="C318" s="304">
        <v>1</v>
      </c>
      <c r="D318" s="305"/>
      <c r="E318" s="309">
        <f t="shared" si="15"/>
        <v>24.41367</v>
      </c>
      <c r="F318" s="498"/>
      <c r="G318" s="499"/>
    </row>
    <row r="319" spans="1:7" x14ac:dyDescent="0.2">
      <c r="A319" s="304">
        <v>59</v>
      </c>
      <c r="B319" s="304">
        <v>59</v>
      </c>
      <c r="C319" s="304">
        <v>1</v>
      </c>
      <c r="D319" s="305"/>
      <c r="E319" s="309">
        <f t="shared" si="15"/>
        <v>24.830285000000003</v>
      </c>
      <c r="F319" s="498"/>
      <c r="G319" s="499"/>
    </row>
    <row r="320" spans="1:7" x14ac:dyDescent="0.2">
      <c r="A320" s="304">
        <v>60</v>
      </c>
      <c r="B320" s="304">
        <v>60</v>
      </c>
      <c r="C320" s="304">
        <v>1</v>
      </c>
      <c r="D320" s="305"/>
      <c r="E320" s="309">
        <f t="shared" si="15"/>
        <v>25.2469</v>
      </c>
      <c r="F320" s="498"/>
      <c r="G320" s="499"/>
    </row>
    <row r="321" spans="1:7" x14ac:dyDescent="0.2">
      <c r="A321" s="304">
        <v>61</v>
      </c>
      <c r="B321" s="304">
        <v>61</v>
      </c>
      <c r="C321" s="304">
        <v>1</v>
      </c>
      <c r="D321" s="305"/>
      <c r="E321" s="309">
        <f t="shared" si="15"/>
        <v>25.663515000000004</v>
      </c>
      <c r="F321" s="498"/>
      <c r="G321" s="499"/>
    </row>
    <row r="322" spans="1:7" x14ac:dyDescent="0.2">
      <c r="A322" s="304">
        <v>62</v>
      </c>
      <c r="B322" s="304">
        <v>62</v>
      </c>
      <c r="C322" s="304">
        <v>1</v>
      </c>
      <c r="D322" s="305"/>
      <c r="E322" s="309">
        <f t="shared" si="15"/>
        <v>26.080130000000004</v>
      </c>
      <c r="F322" s="498"/>
      <c r="G322" s="499"/>
    </row>
    <row r="323" spans="1:7" x14ac:dyDescent="0.2">
      <c r="A323" s="304">
        <v>63</v>
      </c>
      <c r="B323" s="304">
        <v>63</v>
      </c>
      <c r="C323" s="304">
        <v>1</v>
      </c>
      <c r="D323" s="305"/>
      <c r="E323" s="309">
        <f t="shared" si="15"/>
        <v>26.496745000000001</v>
      </c>
      <c r="F323" s="498"/>
      <c r="G323" s="499"/>
    </row>
    <row r="324" spans="1:7" x14ac:dyDescent="0.2">
      <c r="A324" s="304">
        <v>64</v>
      </c>
      <c r="B324" s="304">
        <v>64</v>
      </c>
      <c r="C324" s="304">
        <v>1</v>
      </c>
      <c r="D324" s="305"/>
      <c r="E324" s="309">
        <f t="shared" si="15"/>
        <v>26.913360000000001</v>
      </c>
      <c r="F324" s="498"/>
      <c r="G324" s="499"/>
    </row>
    <row r="325" spans="1:7" x14ac:dyDescent="0.2">
      <c r="A325" s="304">
        <v>65</v>
      </c>
      <c r="B325" s="304">
        <v>65</v>
      </c>
      <c r="C325" s="304">
        <v>1</v>
      </c>
      <c r="D325" s="305"/>
      <c r="E325" s="309">
        <f t="shared" si="15"/>
        <v>27.329975000000005</v>
      </c>
      <c r="F325" s="498"/>
      <c r="G325" s="499"/>
    </row>
    <row r="326" spans="1:7" x14ac:dyDescent="0.2">
      <c r="A326" s="304">
        <v>66</v>
      </c>
      <c r="B326" s="304">
        <v>66</v>
      </c>
      <c r="C326" s="304">
        <v>1</v>
      </c>
      <c r="D326" s="305"/>
      <c r="E326" s="309">
        <f t="shared" si="15"/>
        <v>27.746589999999998</v>
      </c>
      <c r="F326" s="498"/>
      <c r="G326" s="499"/>
    </row>
    <row r="327" spans="1:7" x14ac:dyDescent="0.2">
      <c r="A327" s="304">
        <v>67</v>
      </c>
      <c r="B327" s="304">
        <v>67</v>
      </c>
      <c r="C327" s="304">
        <v>1</v>
      </c>
      <c r="D327" s="305"/>
      <c r="E327" s="309">
        <f t="shared" ref="E327:E360" si="16">(($C$255*B327)+($D$255*C327))*(1-D327)*5%</f>
        <v>28.163205000000001</v>
      </c>
      <c r="F327" s="498"/>
      <c r="G327" s="499"/>
    </row>
    <row r="328" spans="1:7" x14ac:dyDescent="0.2">
      <c r="A328" s="304">
        <v>68</v>
      </c>
      <c r="B328" s="304">
        <v>68</v>
      </c>
      <c r="C328" s="304">
        <v>1</v>
      </c>
      <c r="D328" s="305"/>
      <c r="E328" s="309">
        <f t="shared" si="16"/>
        <v>28.579820000000002</v>
      </c>
      <c r="F328" s="498"/>
      <c r="G328" s="499"/>
    </row>
    <row r="329" spans="1:7" x14ac:dyDescent="0.2">
      <c r="A329" s="304">
        <v>69</v>
      </c>
      <c r="B329" s="304">
        <v>69</v>
      </c>
      <c r="C329" s="304">
        <v>1</v>
      </c>
      <c r="D329" s="305"/>
      <c r="E329" s="309">
        <f t="shared" si="16"/>
        <v>28.996435000000005</v>
      </c>
      <c r="F329" s="498"/>
      <c r="G329" s="499"/>
    </row>
    <row r="330" spans="1:7" x14ac:dyDescent="0.2">
      <c r="A330" s="304">
        <v>70</v>
      </c>
      <c r="B330" s="304">
        <v>70</v>
      </c>
      <c r="C330" s="304">
        <v>1</v>
      </c>
      <c r="D330" s="305"/>
      <c r="E330" s="309">
        <f t="shared" si="16"/>
        <v>29.413049999999998</v>
      </c>
      <c r="F330" s="498"/>
      <c r="G330" s="499"/>
    </row>
    <row r="331" spans="1:7" x14ac:dyDescent="0.2">
      <c r="A331" s="304">
        <v>71</v>
      </c>
      <c r="B331" s="304">
        <v>71</v>
      </c>
      <c r="C331" s="304">
        <v>1</v>
      </c>
      <c r="D331" s="305"/>
      <c r="E331" s="309">
        <f t="shared" si="16"/>
        <v>29.829665000000002</v>
      </c>
      <c r="F331" s="498"/>
      <c r="G331" s="499"/>
    </row>
    <row r="332" spans="1:7" x14ac:dyDescent="0.2">
      <c r="A332" s="304">
        <v>72</v>
      </c>
      <c r="B332" s="304">
        <v>72</v>
      </c>
      <c r="C332" s="304">
        <v>1</v>
      </c>
      <c r="D332" s="305"/>
      <c r="E332" s="309">
        <f t="shared" si="16"/>
        <v>30.246280000000002</v>
      </c>
      <c r="F332" s="498"/>
      <c r="G332" s="499"/>
    </row>
    <row r="333" spans="1:7" x14ac:dyDescent="0.2">
      <c r="A333" s="304">
        <v>73</v>
      </c>
      <c r="B333" s="304">
        <v>73</v>
      </c>
      <c r="C333" s="304">
        <v>1</v>
      </c>
      <c r="D333" s="305"/>
      <c r="E333" s="309">
        <f t="shared" si="16"/>
        <v>30.662894999999999</v>
      </c>
      <c r="F333" s="498"/>
      <c r="G333" s="499"/>
    </row>
    <row r="334" spans="1:7" x14ac:dyDescent="0.2">
      <c r="A334" s="304">
        <v>74</v>
      </c>
      <c r="B334" s="304">
        <v>74</v>
      </c>
      <c r="C334" s="304">
        <v>1</v>
      </c>
      <c r="D334" s="305"/>
      <c r="E334" s="309">
        <f t="shared" si="16"/>
        <v>31.079509999999999</v>
      </c>
      <c r="F334" s="498"/>
      <c r="G334" s="499"/>
    </row>
    <row r="335" spans="1:7" x14ac:dyDescent="0.2">
      <c r="A335" s="304">
        <v>75</v>
      </c>
      <c r="B335" s="304">
        <v>75</v>
      </c>
      <c r="C335" s="304">
        <v>1</v>
      </c>
      <c r="D335" s="305"/>
      <c r="E335" s="309">
        <f t="shared" si="16"/>
        <v>31.496125000000003</v>
      </c>
      <c r="F335" s="498"/>
      <c r="G335" s="499"/>
    </row>
    <row r="336" spans="1:7" x14ac:dyDescent="0.2">
      <c r="A336" s="304">
        <v>76</v>
      </c>
      <c r="B336" s="304">
        <v>76</v>
      </c>
      <c r="C336" s="304">
        <v>1</v>
      </c>
      <c r="D336" s="305"/>
      <c r="E336" s="309">
        <f t="shared" si="16"/>
        <v>31.912740000000003</v>
      </c>
      <c r="F336" s="498"/>
      <c r="G336" s="499"/>
    </row>
    <row r="337" spans="1:7" x14ac:dyDescent="0.2">
      <c r="A337" s="304">
        <v>77</v>
      </c>
      <c r="B337" s="304">
        <v>77</v>
      </c>
      <c r="C337" s="304">
        <v>1</v>
      </c>
      <c r="D337" s="305"/>
      <c r="E337" s="309">
        <f t="shared" si="16"/>
        <v>32.329355</v>
      </c>
      <c r="F337" s="498"/>
      <c r="G337" s="499"/>
    </row>
    <row r="338" spans="1:7" x14ac:dyDescent="0.2">
      <c r="A338" s="304">
        <v>78</v>
      </c>
      <c r="B338" s="304">
        <v>78</v>
      </c>
      <c r="C338" s="304">
        <v>1</v>
      </c>
      <c r="D338" s="305"/>
      <c r="E338" s="309">
        <f t="shared" si="16"/>
        <v>32.74597</v>
      </c>
      <c r="F338" s="498"/>
      <c r="G338" s="499"/>
    </row>
    <row r="339" spans="1:7" x14ac:dyDescent="0.2">
      <c r="A339" s="304">
        <v>79</v>
      </c>
      <c r="B339" s="304">
        <v>79</v>
      </c>
      <c r="C339" s="304">
        <v>1</v>
      </c>
      <c r="D339" s="305"/>
      <c r="E339" s="309">
        <f t="shared" si="16"/>
        <v>33.162585</v>
      </c>
      <c r="F339" s="498"/>
      <c r="G339" s="499"/>
    </row>
    <row r="340" spans="1:7" x14ac:dyDescent="0.2">
      <c r="A340" s="304">
        <v>80</v>
      </c>
      <c r="B340" s="304">
        <v>80</v>
      </c>
      <c r="C340" s="304">
        <v>1</v>
      </c>
      <c r="D340" s="305"/>
      <c r="E340" s="309">
        <f t="shared" si="16"/>
        <v>33.579200000000007</v>
      </c>
      <c r="F340" s="498"/>
      <c r="G340" s="499"/>
    </row>
    <row r="341" spans="1:7" x14ac:dyDescent="0.2">
      <c r="A341" s="304">
        <v>81</v>
      </c>
      <c r="B341" s="304">
        <v>81</v>
      </c>
      <c r="C341" s="304">
        <v>1</v>
      </c>
      <c r="D341" s="305"/>
      <c r="E341" s="309">
        <f t="shared" si="16"/>
        <v>33.995815</v>
      </c>
      <c r="F341" s="498"/>
      <c r="G341" s="499"/>
    </row>
    <row r="342" spans="1:7" x14ac:dyDescent="0.2">
      <c r="A342" s="304">
        <v>82</v>
      </c>
      <c r="B342" s="304">
        <v>82</v>
      </c>
      <c r="C342" s="304">
        <v>1</v>
      </c>
      <c r="D342" s="305"/>
      <c r="E342" s="309">
        <f t="shared" si="16"/>
        <v>34.412430000000001</v>
      </c>
      <c r="F342" s="498"/>
      <c r="G342" s="499"/>
    </row>
    <row r="343" spans="1:7" x14ac:dyDescent="0.2">
      <c r="A343" s="304">
        <v>83</v>
      </c>
      <c r="B343" s="304">
        <v>83</v>
      </c>
      <c r="C343" s="304">
        <v>1</v>
      </c>
      <c r="D343" s="305"/>
      <c r="E343" s="309">
        <f t="shared" si="16"/>
        <v>34.829045000000001</v>
      </c>
      <c r="F343" s="498"/>
      <c r="G343" s="499"/>
    </row>
    <row r="344" spans="1:7" x14ac:dyDescent="0.2">
      <c r="A344" s="304">
        <v>84</v>
      </c>
      <c r="B344" s="304">
        <v>84</v>
      </c>
      <c r="C344" s="304">
        <v>1</v>
      </c>
      <c r="D344" s="305"/>
      <c r="E344" s="309">
        <f t="shared" si="16"/>
        <v>35.245660000000001</v>
      </c>
      <c r="F344" s="498"/>
      <c r="G344" s="499"/>
    </row>
    <row r="345" spans="1:7" x14ac:dyDescent="0.2">
      <c r="A345" s="304">
        <v>85</v>
      </c>
      <c r="B345" s="304">
        <v>85</v>
      </c>
      <c r="C345" s="304">
        <v>1</v>
      </c>
      <c r="D345" s="305"/>
      <c r="E345" s="309">
        <f t="shared" si="16"/>
        <v>35.662275000000001</v>
      </c>
      <c r="F345" s="498"/>
      <c r="G345" s="499"/>
    </row>
    <row r="346" spans="1:7" x14ac:dyDescent="0.2">
      <c r="A346" s="304">
        <v>86</v>
      </c>
      <c r="B346" s="304">
        <v>86</v>
      </c>
      <c r="C346" s="304">
        <v>1</v>
      </c>
      <c r="D346" s="305"/>
      <c r="E346" s="309">
        <f t="shared" si="16"/>
        <v>36.078890000000001</v>
      </c>
      <c r="F346" s="498"/>
      <c r="G346" s="499"/>
    </row>
    <row r="347" spans="1:7" x14ac:dyDescent="0.2">
      <c r="A347" s="304">
        <v>87</v>
      </c>
      <c r="B347" s="304">
        <v>87</v>
      </c>
      <c r="C347" s="304">
        <v>1</v>
      </c>
      <c r="D347" s="305"/>
      <c r="E347" s="309">
        <f t="shared" si="16"/>
        <v>36.495505000000001</v>
      </c>
      <c r="F347" s="498"/>
      <c r="G347" s="499"/>
    </row>
    <row r="348" spans="1:7" x14ac:dyDescent="0.2">
      <c r="A348" s="304">
        <v>88</v>
      </c>
      <c r="B348" s="304">
        <v>88</v>
      </c>
      <c r="C348" s="304">
        <v>1</v>
      </c>
      <c r="D348" s="305"/>
      <c r="E348" s="309">
        <f t="shared" si="16"/>
        <v>36.912120000000002</v>
      </c>
      <c r="F348" s="30" t="s">
        <v>5</v>
      </c>
      <c r="G348" s="499"/>
    </row>
    <row r="349" spans="1:7" x14ac:dyDescent="0.2">
      <c r="A349" s="304">
        <v>89</v>
      </c>
      <c r="B349" s="304">
        <v>89</v>
      </c>
      <c r="C349" s="304">
        <v>1</v>
      </c>
      <c r="D349" s="305"/>
      <c r="E349" s="309">
        <f t="shared" si="16"/>
        <v>37.328735000000002</v>
      </c>
      <c r="G349" s="499"/>
    </row>
    <row r="350" spans="1:7" x14ac:dyDescent="0.2">
      <c r="A350" s="304">
        <v>90</v>
      </c>
      <c r="B350" s="304">
        <v>90</v>
      </c>
      <c r="C350" s="304">
        <v>1</v>
      </c>
      <c r="D350" s="305"/>
      <c r="E350" s="309">
        <f t="shared" si="16"/>
        <v>37.745350000000002</v>
      </c>
      <c r="G350" s="499"/>
    </row>
    <row r="351" spans="1:7" x14ac:dyDescent="0.2">
      <c r="A351" s="304">
        <v>91</v>
      </c>
      <c r="B351" s="304">
        <v>91</v>
      </c>
      <c r="C351" s="304">
        <v>1</v>
      </c>
      <c r="D351" s="305"/>
      <c r="E351" s="309">
        <f t="shared" si="16"/>
        <v>38.161965000000002</v>
      </c>
      <c r="F351" s="30" t="s">
        <v>14</v>
      </c>
      <c r="G351" s="499"/>
    </row>
    <row r="352" spans="1:7" x14ac:dyDescent="0.2">
      <c r="A352" s="304">
        <v>92</v>
      </c>
      <c r="B352" s="304">
        <v>92</v>
      </c>
      <c r="C352" s="304">
        <v>1</v>
      </c>
      <c r="D352" s="305"/>
      <c r="E352" s="309">
        <f t="shared" si="16"/>
        <v>38.578580000000002</v>
      </c>
      <c r="F352" s="30" t="s">
        <v>217</v>
      </c>
      <c r="G352" s="499"/>
    </row>
    <row r="353" spans="1:7" x14ac:dyDescent="0.2">
      <c r="A353" s="304">
        <v>93</v>
      </c>
      <c r="B353" s="304">
        <v>93</v>
      </c>
      <c r="C353" s="304">
        <v>1</v>
      </c>
      <c r="D353" s="305"/>
      <c r="E353" s="309">
        <f t="shared" si="16"/>
        <v>38.995195000000002</v>
      </c>
      <c r="G353" s="499"/>
    </row>
    <row r="354" spans="1:7" x14ac:dyDescent="0.2">
      <c r="A354" s="304">
        <v>94</v>
      </c>
      <c r="B354" s="304">
        <v>94</v>
      </c>
      <c r="C354" s="304">
        <v>1</v>
      </c>
      <c r="D354" s="305"/>
      <c r="E354" s="309">
        <f t="shared" si="16"/>
        <v>39.411810000000003</v>
      </c>
      <c r="G354" s="499"/>
    </row>
    <row r="355" spans="1:7" x14ac:dyDescent="0.2">
      <c r="A355" s="304">
        <v>95</v>
      </c>
      <c r="B355" s="304">
        <v>95</v>
      </c>
      <c r="C355" s="304">
        <v>1</v>
      </c>
      <c r="D355" s="305"/>
      <c r="E355" s="309">
        <f t="shared" si="16"/>
        <v>39.828425000000003</v>
      </c>
      <c r="F355" s="30" t="s">
        <v>11</v>
      </c>
      <c r="G355" s="499"/>
    </row>
    <row r="356" spans="1:7" x14ac:dyDescent="0.2">
      <c r="A356" s="304">
        <v>96</v>
      </c>
      <c r="B356" s="304">
        <v>96</v>
      </c>
      <c r="C356" s="304">
        <v>1</v>
      </c>
      <c r="D356" s="305"/>
      <c r="E356" s="309">
        <f t="shared" si="16"/>
        <v>40.245040000000003</v>
      </c>
      <c r="G356" s="499"/>
    </row>
    <row r="357" spans="1:7" x14ac:dyDescent="0.2">
      <c r="A357" s="304">
        <v>97</v>
      </c>
      <c r="B357" s="304">
        <v>97</v>
      </c>
      <c r="C357" s="304">
        <v>1</v>
      </c>
      <c r="D357" s="305"/>
      <c r="E357" s="309">
        <f t="shared" si="16"/>
        <v>40.661655000000003</v>
      </c>
      <c r="G357" s="499"/>
    </row>
    <row r="358" spans="1:7" x14ac:dyDescent="0.2">
      <c r="A358" s="304">
        <v>98</v>
      </c>
      <c r="B358" s="304">
        <v>98</v>
      </c>
      <c r="C358" s="304">
        <v>1</v>
      </c>
      <c r="D358" s="305"/>
      <c r="E358" s="309">
        <f t="shared" si="16"/>
        <v>41.078270000000003</v>
      </c>
      <c r="F358" s="30" t="s">
        <v>219</v>
      </c>
      <c r="G358" s="499"/>
    </row>
    <row r="359" spans="1:7" x14ac:dyDescent="0.2">
      <c r="A359" s="304">
        <v>99</v>
      </c>
      <c r="B359" s="304">
        <v>99</v>
      </c>
      <c r="C359" s="304">
        <v>1</v>
      </c>
      <c r="D359" s="305"/>
      <c r="E359" s="309">
        <f t="shared" si="16"/>
        <v>41.494885000000004</v>
      </c>
      <c r="F359" s="30" t="s">
        <v>220</v>
      </c>
      <c r="G359" s="499"/>
    </row>
    <row r="360" spans="1:7" x14ac:dyDescent="0.2">
      <c r="A360" s="304">
        <v>100</v>
      </c>
      <c r="B360" s="304">
        <v>100</v>
      </c>
      <c r="C360" s="304">
        <v>1</v>
      </c>
      <c r="D360" s="305"/>
      <c r="E360" s="309">
        <f t="shared" si="16"/>
        <v>41.911500000000004</v>
      </c>
      <c r="F360" s="498"/>
      <c r="G360" s="499"/>
    </row>
    <row r="361" spans="1:7" x14ac:dyDescent="0.2">
      <c r="A361" s="424" t="s">
        <v>207</v>
      </c>
      <c r="B361" s="423">
        <f>SUM(B261:B360)</f>
        <v>5050</v>
      </c>
      <c r="C361" s="311"/>
      <c r="D361" s="311"/>
      <c r="E361" s="312">
        <f>SUM(E261:E360)</f>
        <v>2112.0868722499999</v>
      </c>
    </row>
    <row r="364" spans="1:7" x14ac:dyDescent="0.2">
      <c r="A364" s="58"/>
    </row>
    <row r="365" spans="1:7" ht="15" x14ac:dyDescent="0.35">
      <c r="A365" s="422" t="s">
        <v>234</v>
      </c>
    </row>
    <row r="366" spans="1:7" x14ac:dyDescent="0.2">
      <c r="A366" s="562" t="s">
        <v>237</v>
      </c>
      <c r="B366" s="563"/>
      <c r="C366" s="563"/>
      <c r="D366" s="563"/>
      <c r="E366" s="76"/>
    </row>
    <row r="367" spans="1:7" x14ac:dyDescent="0.2">
      <c r="A367" s="562" t="s">
        <v>202</v>
      </c>
      <c r="B367" s="563"/>
      <c r="C367" s="563"/>
      <c r="D367" s="563"/>
      <c r="E367" s="564"/>
    </row>
    <row r="368" spans="1:7" x14ac:dyDescent="0.2">
      <c r="A368" s="1124" t="s">
        <v>3</v>
      </c>
      <c r="B368" s="1125"/>
      <c r="C368" s="1128" t="s">
        <v>133</v>
      </c>
      <c r="D368" s="1123"/>
      <c r="E368" s="564"/>
    </row>
    <row r="369" spans="1:9" x14ac:dyDescent="0.2">
      <c r="A369" s="1126"/>
      <c r="B369" s="1127"/>
      <c r="C369" s="565" t="s">
        <v>135</v>
      </c>
      <c r="D369" s="565" t="s">
        <v>136</v>
      </c>
      <c r="E369" s="564"/>
    </row>
    <row r="370" spans="1:9" x14ac:dyDescent="0.2">
      <c r="A370" s="566" t="s">
        <v>137</v>
      </c>
      <c r="B370" s="567"/>
      <c r="C370" s="568">
        <v>4.7797000000000001</v>
      </c>
      <c r="D370" s="569"/>
      <c r="E370" s="76"/>
    </row>
    <row r="371" spans="1:9" x14ac:dyDescent="0.2">
      <c r="A371" s="570" t="s">
        <v>138</v>
      </c>
      <c r="B371" s="563"/>
      <c r="C371" s="571">
        <v>0.74129999999999996</v>
      </c>
      <c r="D371" s="572"/>
      <c r="E371" s="76"/>
    </row>
    <row r="372" spans="1:9" x14ac:dyDescent="0.2">
      <c r="A372" s="570" t="s">
        <v>139</v>
      </c>
      <c r="B372" s="563"/>
      <c r="C372" s="573">
        <v>0.71160000000000001</v>
      </c>
      <c r="D372" s="572"/>
      <c r="E372" s="76"/>
    </row>
    <row r="373" spans="1:9" x14ac:dyDescent="0.2">
      <c r="A373" s="570" t="s">
        <v>140</v>
      </c>
      <c r="B373" s="563"/>
      <c r="C373" s="574">
        <v>0.84489999999999998</v>
      </c>
      <c r="D373" s="572"/>
      <c r="E373" s="76"/>
    </row>
    <row r="374" spans="1:9" x14ac:dyDescent="0.2">
      <c r="A374" s="570" t="s">
        <v>141</v>
      </c>
      <c r="B374" s="563"/>
      <c r="C374" s="574">
        <v>0.7732</v>
      </c>
      <c r="D374" s="572"/>
      <c r="E374" s="76"/>
    </row>
    <row r="375" spans="1:9" x14ac:dyDescent="0.2">
      <c r="A375" s="570" t="s">
        <v>142</v>
      </c>
      <c r="B375" s="563"/>
      <c r="C375" s="575">
        <v>0.45689999999999997</v>
      </c>
      <c r="D375" s="576">
        <v>5</v>
      </c>
      <c r="E375" s="76"/>
    </row>
    <row r="376" spans="1:9" x14ac:dyDescent="0.2">
      <c r="A376" s="577" t="s">
        <v>2</v>
      </c>
      <c r="B376" s="578"/>
      <c r="C376" s="579">
        <f>SUM(C370:C375)</f>
        <v>8.307599999999999</v>
      </c>
      <c r="D376" s="580">
        <f>SUM(D370:D375)</f>
        <v>5</v>
      </c>
      <c r="E376" s="77"/>
      <c r="F376" s="78"/>
      <c r="G376" s="78"/>
    </row>
    <row r="377" spans="1:9" hidden="1" x14ac:dyDescent="0.2">
      <c r="A377" s="296"/>
      <c r="B377" s="296"/>
      <c r="C377" s="296"/>
      <c r="D377" s="296"/>
    </row>
    <row r="378" spans="1:9" hidden="1" x14ac:dyDescent="0.2">
      <c r="A378" s="296"/>
      <c r="B378" s="296"/>
      <c r="C378" s="296"/>
      <c r="D378" s="296"/>
    </row>
    <row r="379" spans="1:9" hidden="1" x14ac:dyDescent="0.2">
      <c r="A379" s="296"/>
      <c r="B379" s="296"/>
      <c r="C379" s="296"/>
      <c r="D379" s="296"/>
    </row>
    <row r="380" spans="1:9" x14ac:dyDescent="0.2">
      <c r="A380" s="296"/>
      <c r="B380" s="296"/>
      <c r="C380" s="296"/>
      <c r="D380" s="296"/>
    </row>
    <row r="381" spans="1:9" ht="33.75" customHeight="1" x14ac:dyDescent="0.2">
      <c r="A381" s="556" t="s">
        <v>239</v>
      </c>
      <c r="B381" s="557" t="s">
        <v>68</v>
      </c>
      <c r="C381" s="558" t="s">
        <v>204</v>
      </c>
      <c r="D381" s="556" t="s">
        <v>205</v>
      </c>
      <c r="E381" s="559" t="s">
        <v>206</v>
      </c>
      <c r="F381" s="76"/>
      <c r="G381" s="556" t="s">
        <v>239</v>
      </c>
      <c r="H381" s="560" t="str">
        <f>D381</f>
        <v>Lifeline Discount Rate</v>
      </c>
      <c r="I381" s="561" t="str">
        <f>E381</f>
        <v>SENIOR CITIZEN DISCOUNT (Php)</v>
      </c>
    </row>
    <row r="382" spans="1:9" x14ac:dyDescent="0.2">
      <c r="A382" s="304">
        <v>1</v>
      </c>
      <c r="B382" s="553">
        <v>1</v>
      </c>
      <c r="C382" s="553">
        <v>1</v>
      </c>
      <c r="D382" s="308">
        <v>0.25</v>
      </c>
      <c r="E382" s="309">
        <f>(($C$376*B382)+($D$376*C382))*(1-D382)*5%</f>
        <v>0.49903499999999995</v>
      </c>
      <c r="F382" s="498"/>
      <c r="G382" s="304">
        <f>A434</f>
        <v>53</v>
      </c>
      <c r="H382" s="308"/>
      <c r="I382" s="309">
        <f>E434</f>
        <v>22.265139999999999</v>
      </c>
    </row>
    <row r="383" spans="1:9" x14ac:dyDescent="0.2">
      <c r="A383" s="304">
        <v>2</v>
      </c>
      <c r="B383" s="553">
        <v>2</v>
      </c>
      <c r="C383" s="553">
        <v>1</v>
      </c>
      <c r="D383" s="308">
        <v>0.25</v>
      </c>
      <c r="E383" s="309">
        <f t="shared" ref="E383:E446" si="17">(($C$376*B383)+($D$376*C383))*(1-D383)*5%</f>
        <v>0.8105699999999999</v>
      </c>
      <c r="F383" s="498"/>
      <c r="G383" s="304">
        <f t="shared" ref="G383:G429" si="18">A435</f>
        <v>54</v>
      </c>
      <c r="H383" s="308"/>
      <c r="I383" s="309">
        <f t="shared" ref="I383:I429" si="19">E435</f>
        <v>22.680520000000001</v>
      </c>
    </row>
    <row r="384" spans="1:9" x14ac:dyDescent="0.2">
      <c r="A384" s="304">
        <v>3</v>
      </c>
      <c r="B384" s="553">
        <v>3</v>
      </c>
      <c r="C384" s="553">
        <v>1</v>
      </c>
      <c r="D384" s="308">
        <v>0.25</v>
      </c>
      <c r="E384" s="309">
        <f t="shared" si="17"/>
        <v>1.1221049999999999</v>
      </c>
      <c r="F384" s="498"/>
      <c r="G384" s="304">
        <f t="shared" si="18"/>
        <v>55</v>
      </c>
      <c r="H384" s="308"/>
      <c r="I384" s="309">
        <f t="shared" si="19"/>
        <v>23.0959</v>
      </c>
    </row>
    <row r="385" spans="1:9" x14ac:dyDescent="0.2">
      <c r="A385" s="304">
        <v>4</v>
      </c>
      <c r="B385" s="553">
        <v>4</v>
      </c>
      <c r="C385" s="553">
        <v>1</v>
      </c>
      <c r="D385" s="308">
        <v>0.25</v>
      </c>
      <c r="E385" s="309">
        <f t="shared" si="17"/>
        <v>1.4336399999999998</v>
      </c>
      <c r="F385" s="498"/>
      <c r="G385" s="304">
        <f t="shared" si="18"/>
        <v>56</v>
      </c>
      <c r="H385" s="308"/>
      <c r="I385" s="309">
        <f t="shared" si="19"/>
        <v>23.511279999999999</v>
      </c>
    </row>
    <row r="386" spans="1:9" x14ac:dyDescent="0.2">
      <c r="A386" s="304">
        <v>5</v>
      </c>
      <c r="B386" s="553">
        <v>5</v>
      </c>
      <c r="C386" s="553">
        <v>1</v>
      </c>
      <c r="D386" s="308">
        <v>0.25</v>
      </c>
      <c r="E386" s="309">
        <f t="shared" si="17"/>
        <v>1.7451749999999997</v>
      </c>
      <c r="F386" s="498"/>
      <c r="G386" s="304">
        <f t="shared" si="18"/>
        <v>57</v>
      </c>
      <c r="H386" s="308"/>
      <c r="I386" s="309">
        <f t="shared" si="19"/>
        <v>23.926659999999998</v>
      </c>
    </row>
    <row r="387" spans="1:9" x14ac:dyDescent="0.2">
      <c r="A387" s="304">
        <v>6</v>
      </c>
      <c r="B387" s="553">
        <v>6</v>
      </c>
      <c r="C387" s="553">
        <v>1</v>
      </c>
      <c r="D387" s="308">
        <v>0.25</v>
      </c>
      <c r="E387" s="309">
        <f t="shared" si="17"/>
        <v>2.0567099999999998</v>
      </c>
      <c r="F387" s="498"/>
      <c r="G387" s="304">
        <f t="shared" si="18"/>
        <v>58</v>
      </c>
      <c r="H387" s="308"/>
      <c r="I387" s="309">
        <f t="shared" si="19"/>
        <v>24.342039999999997</v>
      </c>
    </row>
    <row r="388" spans="1:9" x14ac:dyDescent="0.2">
      <c r="A388" s="304">
        <v>7</v>
      </c>
      <c r="B388" s="553">
        <v>7</v>
      </c>
      <c r="C388" s="553">
        <v>1</v>
      </c>
      <c r="D388" s="308">
        <v>0.25</v>
      </c>
      <c r="E388" s="309">
        <f t="shared" si="17"/>
        <v>2.3682449999999995</v>
      </c>
      <c r="F388" s="498"/>
      <c r="G388" s="304">
        <f t="shared" si="18"/>
        <v>59</v>
      </c>
      <c r="H388" s="308"/>
      <c r="I388" s="309">
        <f t="shared" si="19"/>
        <v>24.757419999999996</v>
      </c>
    </row>
    <row r="389" spans="1:9" x14ac:dyDescent="0.2">
      <c r="A389" s="304">
        <v>8</v>
      </c>
      <c r="B389" s="553">
        <v>8</v>
      </c>
      <c r="C389" s="553">
        <v>1</v>
      </c>
      <c r="D389" s="308">
        <v>0.25</v>
      </c>
      <c r="E389" s="309">
        <f t="shared" si="17"/>
        <v>2.6797799999999996</v>
      </c>
      <c r="F389" s="498"/>
      <c r="G389" s="304">
        <f t="shared" si="18"/>
        <v>60</v>
      </c>
      <c r="H389" s="308"/>
      <c r="I389" s="309">
        <f t="shared" si="19"/>
        <v>25.172799999999999</v>
      </c>
    </row>
    <row r="390" spans="1:9" x14ac:dyDescent="0.2">
      <c r="A390" s="304">
        <v>9</v>
      </c>
      <c r="B390" s="553">
        <v>9</v>
      </c>
      <c r="C390" s="553">
        <v>1</v>
      </c>
      <c r="D390" s="308">
        <v>0.25</v>
      </c>
      <c r="E390" s="309">
        <f t="shared" si="17"/>
        <v>2.9913149999999997</v>
      </c>
      <c r="F390" s="498"/>
      <c r="G390" s="304">
        <f t="shared" si="18"/>
        <v>61</v>
      </c>
      <c r="H390" s="308"/>
      <c r="I390" s="309">
        <f t="shared" si="19"/>
        <v>25.588179999999998</v>
      </c>
    </row>
    <row r="391" spans="1:9" x14ac:dyDescent="0.2">
      <c r="A391" s="304">
        <v>10</v>
      </c>
      <c r="B391" s="553">
        <v>10</v>
      </c>
      <c r="C391" s="553">
        <v>1</v>
      </c>
      <c r="D391" s="308">
        <v>0.25</v>
      </c>
      <c r="E391" s="309">
        <f t="shared" si="17"/>
        <v>3.3028499999999994</v>
      </c>
      <c r="F391" s="498"/>
      <c r="G391" s="304">
        <f t="shared" si="18"/>
        <v>62</v>
      </c>
      <c r="H391" s="308"/>
      <c r="I391" s="309">
        <f t="shared" si="19"/>
        <v>26.00356</v>
      </c>
    </row>
    <row r="392" spans="1:9" x14ac:dyDescent="0.2">
      <c r="A392" s="304">
        <v>11</v>
      </c>
      <c r="B392" s="553">
        <v>11</v>
      </c>
      <c r="C392" s="553">
        <v>1</v>
      </c>
      <c r="D392" s="308">
        <v>0.25</v>
      </c>
      <c r="E392" s="309">
        <f t="shared" si="17"/>
        <v>3.6143849999999995</v>
      </c>
      <c r="F392" s="498"/>
      <c r="G392" s="304">
        <f t="shared" si="18"/>
        <v>63</v>
      </c>
      <c r="H392" s="308"/>
      <c r="I392" s="309">
        <f t="shared" si="19"/>
        <v>26.418939999999999</v>
      </c>
    </row>
    <row r="393" spans="1:9" x14ac:dyDescent="0.2">
      <c r="A393" s="304">
        <v>12</v>
      </c>
      <c r="B393" s="553">
        <v>12</v>
      </c>
      <c r="C393" s="553">
        <v>1</v>
      </c>
      <c r="D393" s="308">
        <v>0.25</v>
      </c>
      <c r="E393" s="309">
        <f t="shared" si="17"/>
        <v>3.9259199999999996</v>
      </c>
      <c r="F393" s="498"/>
      <c r="G393" s="304">
        <f t="shared" si="18"/>
        <v>64</v>
      </c>
      <c r="H393" s="308"/>
      <c r="I393" s="309">
        <f t="shared" si="19"/>
        <v>26.834319999999998</v>
      </c>
    </row>
    <row r="394" spans="1:9" x14ac:dyDescent="0.2">
      <c r="A394" s="304">
        <v>13</v>
      </c>
      <c r="B394" s="553">
        <v>13</v>
      </c>
      <c r="C394" s="553">
        <v>1</v>
      </c>
      <c r="D394" s="308">
        <v>0.25</v>
      </c>
      <c r="E394" s="309">
        <f t="shared" si="17"/>
        <v>4.2374549999999997</v>
      </c>
      <c r="F394" s="498"/>
      <c r="G394" s="304">
        <f t="shared" si="18"/>
        <v>65</v>
      </c>
      <c r="H394" s="308"/>
      <c r="I394" s="309">
        <f t="shared" si="19"/>
        <v>27.249699999999997</v>
      </c>
    </row>
    <row r="395" spans="1:9" x14ac:dyDescent="0.2">
      <c r="A395" s="304">
        <v>14</v>
      </c>
      <c r="B395" s="553">
        <v>14</v>
      </c>
      <c r="C395" s="553">
        <v>1</v>
      </c>
      <c r="D395" s="308">
        <v>0.25</v>
      </c>
      <c r="E395" s="309">
        <f t="shared" si="17"/>
        <v>4.548989999999999</v>
      </c>
      <c r="F395" s="498"/>
      <c r="G395" s="304">
        <f t="shared" si="18"/>
        <v>66</v>
      </c>
      <c r="H395" s="308"/>
      <c r="I395" s="309">
        <f t="shared" si="19"/>
        <v>27.665079999999996</v>
      </c>
    </row>
    <row r="396" spans="1:9" x14ac:dyDescent="0.2">
      <c r="A396" s="304">
        <v>15</v>
      </c>
      <c r="B396" s="553">
        <v>15</v>
      </c>
      <c r="C396" s="553">
        <v>1</v>
      </c>
      <c r="D396" s="308">
        <v>0.25</v>
      </c>
      <c r="E396" s="309">
        <f t="shared" si="17"/>
        <v>4.8605249999999991</v>
      </c>
      <c r="F396" s="498"/>
      <c r="G396" s="304">
        <f t="shared" si="18"/>
        <v>67</v>
      </c>
      <c r="H396" s="308"/>
      <c r="I396" s="309">
        <f t="shared" si="19"/>
        <v>28.080460000000002</v>
      </c>
    </row>
    <row r="397" spans="1:9" x14ac:dyDescent="0.2">
      <c r="A397" s="304">
        <v>16</v>
      </c>
      <c r="B397" s="553">
        <v>16</v>
      </c>
      <c r="C397" s="553">
        <v>1</v>
      </c>
      <c r="D397" s="308">
        <v>0.15</v>
      </c>
      <c r="E397" s="309">
        <f t="shared" si="17"/>
        <v>5.861667999999999</v>
      </c>
      <c r="F397" s="498"/>
      <c r="G397" s="304">
        <f t="shared" si="18"/>
        <v>68</v>
      </c>
      <c r="H397" s="308"/>
      <c r="I397" s="309">
        <f t="shared" si="19"/>
        <v>28.495840000000001</v>
      </c>
    </row>
    <row r="398" spans="1:9" x14ac:dyDescent="0.2">
      <c r="A398" s="304">
        <v>17</v>
      </c>
      <c r="B398" s="553">
        <v>17</v>
      </c>
      <c r="C398" s="553">
        <v>1</v>
      </c>
      <c r="D398" s="308">
        <v>0.1</v>
      </c>
      <c r="E398" s="309">
        <f t="shared" si="17"/>
        <v>6.5803140000000004</v>
      </c>
      <c r="F398" s="498"/>
      <c r="G398" s="304">
        <f t="shared" si="18"/>
        <v>69</v>
      </c>
      <c r="H398" s="308"/>
      <c r="I398" s="309">
        <f t="shared" si="19"/>
        <v>28.91122</v>
      </c>
    </row>
    <row r="399" spans="1:9" x14ac:dyDescent="0.2">
      <c r="A399" s="304">
        <v>18</v>
      </c>
      <c r="B399" s="553">
        <v>18</v>
      </c>
      <c r="C399" s="553">
        <v>1</v>
      </c>
      <c r="D399" s="308">
        <v>0.1</v>
      </c>
      <c r="E399" s="309">
        <f t="shared" si="17"/>
        <v>6.9541559999999993</v>
      </c>
      <c r="F399" s="498"/>
      <c r="G399" s="304">
        <f t="shared" si="18"/>
        <v>70</v>
      </c>
      <c r="H399" s="308"/>
      <c r="I399" s="309">
        <f t="shared" si="19"/>
        <v>29.326599999999999</v>
      </c>
    </row>
    <row r="400" spans="1:9" x14ac:dyDescent="0.2">
      <c r="A400" s="304">
        <v>19</v>
      </c>
      <c r="B400" s="553">
        <v>19</v>
      </c>
      <c r="C400" s="553">
        <v>1</v>
      </c>
      <c r="D400" s="308">
        <v>0.05</v>
      </c>
      <c r="E400" s="309">
        <f t="shared" si="17"/>
        <v>7.7351089999999987</v>
      </c>
      <c r="F400" s="498"/>
      <c r="G400" s="304">
        <f t="shared" si="18"/>
        <v>71</v>
      </c>
      <c r="H400" s="308"/>
      <c r="I400" s="309">
        <f t="shared" si="19"/>
        <v>29.741979999999998</v>
      </c>
    </row>
    <row r="401" spans="1:9" x14ac:dyDescent="0.2">
      <c r="A401" s="304">
        <v>20</v>
      </c>
      <c r="B401" s="553">
        <v>20</v>
      </c>
      <c r="C401" s="553">
        <v>1</v>
      </c>
      <c r="D401" s="308">
        <v>0.05</v>
      </c>
      <c r="E401" s="309">
        <f t="shared" si="17"/>
        <v>8.1297199999999989</v>
      </c>
      <c r="F401" s="498"/>
      <c r="G401" s="304">
        <f t="shared" si="18"/>
        <v>72</v>
      </c>
      <c r="H401" s="308"/>
      <c r="I401" s="309">
        <f t="shared" si="19"/>
        <v>30.157359999999997</v>
      </c>
    </row>
    <row r="402" spans="1:9" x14ac:dyDescent="0.2">
      <c r="A402" s="304">
        <v>21</v>
      </c>
      <c r="B402" s="553">
        <v>21</v>
      </c>
      <c r="C402" s="553">
        <v>1</v>
      </c>
      <c r="D402" s="310"/>
      <c r="E402" s="309">
        <f t="shared" si="17"/>
        <v>8.972979999999998</v>
      </c>
      <c r="F402" s="498"/>
      <c r="G402" s="304">
        <f t="shared" si="18"/>
        <v>73</v>
      </c>
      <c r="H402" s="308"/>
      <c r="I402" s="309">
        <f t="shared" si="19"/>
        <v>30.57274</v>
      </c>
    </row>
    <row r="403" spans="1:9" x14ac:dyDescent="0.2">
      <c r="A403" s="304">
        <v>22</v>
      </c>
      <c r="B403" s="553">
        <v>22</v>
      </c>
      <c r="C403" s="553">
        <v>1</v>
      </c>
      <c r="D403" s="305"/>
      <c r="E403" s="309">
        <f t="shared" si="17"/>
        <v>9.3883599999999987</v>
      </c>
      <c r="F403" s="498"/>
      <c r="G403" s="304">
        <f t="shared" si="18"/>
        <v>74</v>
      </c>
      <c r="H403" s="308"/>
      <c r="I403" s="309">
        <f t="shared" si="19"/>
        <v>30.988119999999999</v>
      </c>
    </row>
    <row r="404" spans="1:9" x14ac:dyDescent="0.2">
      <c r="A404" s="304">
        <v>23</v>
      </c>
      <c r="B404" s="553">
        <v>23</v>
      </c>
      <c r="C404" s="553">
        <v>1</v>
      </c>
      <c r="D404" s="305"/>
      <c r="E404" s="309">
        <f t="shared" si="17"/>
        <v>9.8037399999999995</v>
      </c>
      <c r="F404" s="498"/>
      <c r="G404" s="304">
        <f t="shared" si="18"/>
        <v>75</v>
      </c>
      <c r="H404" s="308"/>
      <c r="I404" s="309">
        <f t="shared" si="19"/>
        <v>31.403499999999998</v>
      </c>
    </row>
    <row r="405" spans="1:9" x14ac:dyDescent="0.2">
      <c r="A405" s="304">
        <v>24</v>
      </c>
      <c r="B405" s="553">
        <v>24</v>
      </c>
      <c r="C405" s="553">
        <v>1</v>
      </c>
      <c r="D405" s="305"/>
      <c r="E405" s="309">
        <f t="shared" si="17"/>
        <v>10.219119999999998</v>
      </c>
      <c r="F405" s="498"/>
      <c r="G405" s="304">
        <f t="shared" si="18"/>
        <v>76</v>
      </c>
      <c r="H405" s="308"/>
      <c r="I405" s="309">
        <f t="shared" si="19"/>
        <v>31.818879999999996</v>
      </c>
    </row>
    <row r="406" spans="1:9" x14ac:dyDescent="0.2">
      <c r="A406" s="304">
        <v>25</v>
      </c>
      <c r="B406" s="553">
        <v>25</v>
      </c>
      <c r="C406" s="553">
        <v>1</v>
      </c>
      <c r="D406" s="305"/>
      <c r="E406" s="309">
        <f t="shared" si="17"/>
        <v>10.634499999999999</v>
      </c>
      <c r="F406" s="498"/>
      <c r="G406" s="304">
        <f t="shared" si="18"/>
        <v>77</v>
      </c>
      <c r="H406" s="308"/>
      <c r="I406" s="309">
        <f t="shared" si="19"/>
        <v>32.234259999999999</v>
      </c>
    </row>
    <row r="407" spans="1:9" x14ac:dyDescent="0.2">
      <c r="A407" s="304">
        <v>26</v>
      </c>
      <c r="B407" s="553">
        <v>26</v>
      </c>
      <c r="C407" s="553">
        <v>1</v>
      </c>
      <c r="D407" s="305"/>
      <c r="E407" s="309">
        <f t="shared" si="17"/>
        <v>11.04988</v>
      </c>
      <c r="F407" s="498"/>
      <c r="G407" s="304">
        <f t="shared" si="18"/>
        <v>78</v>
      </c>
      <c r="H407" s="308"/>
      <c r="I407" s="309">
        <f t="shared" si="19"/>
        <v>32.649639999999998</v>
      </c>
    </row>
    <row r="408" spans="1:9" x14ac:dyDescent="0.2">
      <c r="A408" s="304">
        <v>27</v>
      </c>
      <c r="B408" s="553">
        <v>27</v>
      </c>
      <c r="C408" s="553">
        <v>1</v>
      </c>
      <c r="D408" s="305"/>
      <c r="E408" s="309">
        <f t="shared" si="17"/>
        <v>11.465260000000001</v>
      </c>
      <c r="F408" s="498"/>
      <c r="G408" s="304">
        <f t="shared" si="18"/>
        <v>79</v>
      </c>
      <c r="H408" s="308"/>
      <c r="I408" s="309">
        <f t="shared" si="19"/>
        <v>33.065019999999997</v>
      </c>
    </row>
    <row r="409" spans="1:9" x14ac:dyDescent="0.2">
      <c r="A409" s="304">
        <v>28</v>
      </c>
      <c r="B409" s="553">
        <v>28</v>
      </c>
      <c r="C409" s="553">
        <v>1</v>
      </c>
      <c r="D409" s="305"/>
      <c r="E409" s="309">
        <f t="shared" si="17"/>
        <v>11.88064</v>
      </c>
      <c r="F409" s="498"/>
      <c r="G409" s="304">
        <f t="shared" si="18"/>
        <v>80</v>
      </c>
      <c r="H409" s="308"/>
      <c r="I409" s="309">
        <f t="shared" si="19"/>
        <v>33.480399999999996</v>
      </c>
    </row>
    <row r="410" spans="1:9" x14ac:dyDescent="0.2">
      <c r="A410" s="304">
        <v>29</v>
      </c>
      <c r="B410" s="553">
        <v>29</v>
      </c>
      <c r="C410" s="553">
        <v>1</v>
      </c>
      <c r="D410" s="305"/>
      <c r="E410" s="309">
        <f t="shared" si="17"/>
        <v>12.296019999999999</v>
      </c>
      <c r="F410" s="498"/>
      <c r="G410" s="304">
        <f t="shared" si="18"/>
        <v>81</v>
      </c>
      <c r="H410" s="308"/>
      <c r="I410" s="309">
        <f t="shared" si="19"/>
        <v>33.895779999999995</v>
      </c>
    </row>
    <row r="411" spans="1:9" x14ac:dyDescent="0.2">
      <c r="A411" s="304">
        <v>30</v>
      </c>
      <c r="B411" s="553">
        <v>30</v>
      </c>
      <c r="C411" s="553">
        <v>1</v>
      </c>
      <c r="D411" s="305"/>
      <c r="E411" s="309">
        <f t="shared" si="17"/>
        <v>12.711399999999999</v>
      </c>
      <c r="F411" s="498"/>
      <c r="G411" s="304">
        <f t="shared" si="18"/>
        <v>82</v>
      </c>
      <c r="H411" s="308"/>
      <c r="I411" s="309">
        <f t="shared" si="19"/>
        <v>34.311159999999994</v>
      </c>
    </row>
    <row r="412" spans="1:9" x14ac:dyDescent="0.2">
      <c r="A412" s="304">
        <v>31</v>
      </c>
      <c r="B412" s="553">
        <v>31</v>
      </c>
      <c r="C412" s="553">
        <v>1</v>
      </c>
      <c r="D412" s="305"/>
      <c r="E412" s="309">
        <f t="shared" si="17"/>
        <v>13.12678</v>
      </c>
      <c r="F412" s="498"/>
      <c r="G412" s="304">
        <f t="shared" si="18"/>
        <v>83</v>
      </c>
      <c r="H412" s="308"/>
      <c r="I412" s="309">
        <f t="shared" si="19"/>
        <v>34.726539999999993</v>
      </c>
    </row>
    <row r="413" spans="1:9" x14ac:dyDescent="0.2">
      <c r="A413" s="304">
        <v>32</v>
      </c>
      <c r="B413" s="553">
        <v>32</v>
      </c>
      <c r="C413" s="553">
        <v>1</v>
      </c>
      <c r="D413" s="305"/>
      <c r="E413" s="309">
        <f t="shared" si="17"/>
        <v>13.542159999999999</v>
      </c>
      <c r="F413" s="498"/>
      <c r="G413" s="304">
        <f t="shared" si="18"/>
        <v>84</v>
      </c>
      <c r="H413" s="308"/>
      <c r="I413" s="309">
        <f t="shared" si="19"/>
        <v>35.141919999999992</v>
      </c>
    </row>
    <row r="414" spans="1:9" x14ac:dyDescent="0.2">
      <c r="A414" s="304">
        <v>33</v>
      </c>
      <c r="B414" s="553">
        <v>33</v>
      </c>
      <c r="C414" s="553">
        <v>1</v>
      </c>
      <c r="D414" s="305"/>
      <c r="E414" s="309">
        <f t="shared" si="17"/>
        <v>13.957539999999998</v>
      </c>
      <c r="F414" s="498"/>
      <c r="G414" s="304">
        <f t="shared" si="18"/>
        <v>85</v>
      </c>
      <c r="H414" s="308"/>
      <c r="I414" s="309">
        <f t="shared" si="19"/>
        <v>35.557299999999998</v>
      </c>
    </row>
    <row r="415" spans="1:9" x14ac:dyDescent="0.2">
      <c r="A415" s="304">
        <v>34</v>
      </c>
      <c r="B415" s="553">
        <v>34</v>
      </c>
      <c r="C415" s="553">
        <v>1</v>
      </c>
      <c r="D415" s="305"/>
      <c r="E415" s="309">
        <f t="shared" si="17"/>
        <v>14.372920000000001</v>
      </c>
      <c r="F415" s="498"/>
      <c r="G415" s="304">
        <f t="shared" si="18"/>
        <v>86</v>
      </c>
      <c r="H415" s="308"/>
      <c r="I415" s="309">
        <f t="shared" si="19"/>
        <v>35.972679999999997</v>
      </c>
    </row>
    <row r="416" spans="1:9" x14ac:dyDescent="0.2">
      <c r="A416" s="304">
        <v>35</v>
      </c>
      <c r="B416" s="553">
        <v>35</v>
      </c>
      <c r="C416" s="553">
        <v>1</v>
      </c>
      <c r="D416" s="305"/>
      <c r="E416" s="309">
        <f t="shared" si="17"/>
        <v>14.7883</v>
      </c>
      <c r="F416" s="498"/>
      <c r="G416" s="304">
        <f t="shared" si="18"/>
        <v>87</v>
      </c>
      <c r="H416" s="308"/>
      <c r="I416" s="309">
        <f t="shared" si="19"/>
        <v>36.388059999999996</v>
      </c>
    </row>
    <row r="417" spans="1:9" x14ac:dyDescent="0.2">
      <c r="A417" s="304">
        <v>36</v>
      </c>
      <c r="B417" s="553">
        <v>36</v>
      </c>
      <c r="C417" s="553">
        <v>1</v>
      </c>
      <c r="D417" s="305"/>
      <c r="E417" s="309">
        <f t="shared" si="17"/>
        <v>15.203679999999999</v>
      </c>
      <c r="F417" s="498"/>
      <c r="G417" s="304">
        <f t="shared" si="18"/>
        <v>88</v>
      </c>
      <c r="H417" s="308"/>
      <c r="I417" s="309">
        <f t="shared" si="19"/>
        <v>36.803439999999995</v>
      </c>
    </row>
    <row r="418" spans="1:9" x14ac:dyDescent="0.2">
      <c r="A418" s="304">
        <v>37</v>
      </c>
      <c r="B418" s="553">
        <v>37</v>
      </c>
      <c r="C418" s="553">
        <v>1</v>
      </c>
      <c r="D418" s="305"/>
      <c r="E418" s="309">
        <f t="shared" si="17"/>
        <v>15.619059999999999</v>
      </c>
      <c r="F418" s="498"/>
      <c r="G418" s="304">
        <f t="shared" si="18"/>
        <v>89</v>
      </c>
      <c r="H418" s="308"/>
      <c r="I418" s="309">
        <f t="shared" si="19"/>
        <v>37.218819999999994</v>
      </c>
    </row>
    <row r="419" spans="1:9" x14ac:dyDescent="0.2">
      <c r="A419" s="304">
        <v>38</v>
      </c>
      <c r="B419" s="553">
        <v>38</v>
      </c>
      <c r="C419" s="553">
        <v>1</v>
      </c>
      <c r="D419" s="305"/>
      <c r="E419" s="309">
        <f t="shared" si="17"/>
        <v>16.03444</v>
      </c>
      <c r="F419" s="498"/>
      <c r="G419" s="304">
        <f t="shared" si="18"/>
        <v>90</v>
      </c>
      <c r="H419" s="308"/>
      <c r="I419" s="309">
        <f t="shared" si="19"/>
        <v>37.634199999999993</v>
      </c>
    </row>
    <row r="420" spans="1:9" x14ac:dyDescent="0.2">
      <c r="A420" s="304">
        <v>39</v>
      </c>
      <c r="B420" s="553">
        <v>39</v>
      </c>
      <c r="C420" s="553">
        <v>1</v>
      </c>
      <c r="D420" s="305"/>
      <c r="E420" s="309">
        <f t="shared" si="17"/>
        <v>16.449819999999999</v>
      </c>
      <c r="F420" s="498"/>
      <c r="G420" s="304">
        <f t="shared" si="18"/>
        <v>91</v>
      </c>
      <c r="H420" s="308"/>
      <c r="I420" s="309">
        <f t="shared" si="19"/>
        <v>38.049579999999999</v>
      </c>
    </row>
    <row r="421" spans="1:9" x14ac:dyDescent="0.2">
      <c r="A421" s="304">
        <v>40</v>
      </c>
      <c r="B421" s="553">
        <v>40</v>
      </c>
      <c r="C421" s="553">
        <v>1</v>
      </c>
      <c r="D421" s="305"/>
      <c r="E421" s="309">
        <f t="shared" si="17"/>
        <v>16.865199999999998</v>
      </c>
      <c r="F421" s="498"/>
      <c r="G421" s="304">
        <f t="shared" si="18"/>
        <v>92</v>
      </c>
      <c r="H421" s="308"/>
      <c r="I421" s="309">
        <f t="shared" si="19"/>
        <v>38.464959999999998</v>
      </c>
    </row>
    <row r="422" spans="1:9" x14ac:dyDescent="0.2">
      <c r="A422" s="304">
        <v>41</v>
      </c>
      <c r="B422" s="553">
        <v>41</v>
      </c>
      <c r="C422" s="553">
        <v>1</v>
      </c>
      <c r="D422" s="305"/>
      <c r="E422" s="309">
        <f t="shared" si="17"/>
        <v>17.280579999999997</v>
      </c>
      <c r="F422" s="498"/>
      <c r="G422" s="304">
        <f t="shared" si="18"/>
        <v>93</v>
      </c>
      <c r="H422" s="308"/>
      <c r="I422" s="309">
        <f t="shared" si="19"/>
        <v>38.880339999999997</v>
      </c>
    </row>
    <row r="423" spans="1:9" x14ac:dyDescent="0.2">
      <c r="A423" s="304">
        <v>42</v>
      </c>
      <c r="B423" s="553">
        <v>42</v>
      </c>
      <c r="C423" s="553">
        <v>1</v>
      </c>
      <c r="D423" s="305"/>
      <c r="E423" s="309">
        <f t="shared" si="17"/>
        <v>17.695959999999996</v>
      </c>
      <c r="F423" s="498"/>
      <c r="G423" s="304">
        <f t="shared" si="18"/>
        <v>94</v>
      </c>
      <c r="H423" s="308"/>
      <c r="I423" s="309">
        <f t="shared" si="19"/>
        <v>39.295719999999996</v>
      </c>
    </row>
    <row r="424" spans="1:9" x14ac:dyDescent="0.2">
      <c r="A424" s="304">
        <v>43</v>
      </c>
      <c r="B424" s="553">
        <v>43</v>
      </c>
      <c r="C424" s="553">
        <v>1</v>
      </c>
      <c r="D424" s="305"/>
      <c r="E424" s="309">
        <f t="shared" si="17"/>
        <v>18.111339999999998</v>
      </c>
      <c r="F424" s="498"/>
      <c r="G424" s="304">
        <f t="shared" si="18"/>
        <v>95</v>
      </c>
      <c r="H424" s="308"/>
      <c r="I424" s="309">
        <f t="shared" si="19"/>
        <v>39.711099999999995</v>
      </c>
    </row>
    <row r="425" spans="1:9" x14ac:dyDescent="0.2">
      <c r="A425" s="304">
        <v>44</v>
      </c>
      <c r="B425" s="553">
        <v>44</v>
      </c>
      <c r="C425" s="553">
        <v>1</v>
      </c>
      <c r="D425" s="305"/>
      <c r="E425" s="309">
        <f t="shared" si="17"/>
        <v>18.526719999999997</v>
      </c>
      <c r="F425" s="498"/>
      <c r="G425" s="304">
        <f t="shared" si="18"/>
        <v>96</v>
      </c>
      <c r="H425" s="308"/>
      <c r="I425" s="309">
        <f t="shared" si="19"/>
        <v>40.126479999999994</v>
      </c>
    </row>
    <row r="426" spans="1:9" x14ac:dyDescent="0.2">
      <c r="A426" s="304">
        <v>45</v>
      </c>
      <c r="B426" s="553">
        <v>45</v>
      </c>
      <c r="C426" s="553">
        <v>1</v>
      </c>
      <c r="D426" s="305"/>
      <c r="E426" s="309">
        <f t="shared" si="17"/>
        <v>18.942099999999996</v>
      </c>
      <c r="F426" s="498"/>
      <c r="G426" s="304">
        <f t="shared" si="18"/>
        <v>97</v>
      </c>
      <c r="H426" s="308"/>
      <c r="I426" s="309">
        <f t="shared" si="19"/>
        <v>40.54186</v>
      </c>
    </row>
    <row r="427" spans="1:9" x14ac:dyDescent="0.2">
      <c r="A427" s="304">
        <v>46</v>
      </c>
      <c r="B427" s="553">
        <v>46</v>
      </c>
      <c r="C427" s="553">
        <v>1</v>
      </c>
      <c r="D427" s="305"/>
      <c r="E427" s="309">
        <f t="shared" si="17"/>
        <v>19.357479999999999</v>
      </c>
      <c r="F427" s="498"/>
      <c r="G427" s="304">
        <f t="shared" si="18"/>
        <v>98</v>
      </c>
      <c r="H427" s="308"/>
      <c r="I427" s="309">
        <f t="shared" si="19"/>
        <v>40.957239999999999</v>
      </c>
    </row>
    <row r="428" spans="1:9" x14ac:dyDescent="0.2">
      <c r="A428" s="304">
        <v>47</v>
      </c>
      <c r="B428" s="553">
        <v>47</v>
      </c>
      <c r="C428" s="553">
        <v>1</v>
      </c>
      <c r="D428" s="305"/>
      <c r="E428" s="309">
        <f t="shared" si="17"/>
        <v>19.772859999999998</v>
      </c>
      <c r="F428" s="498"/>
      <c r="G428" s="304">
        <f t="shared" si="18"/>
        <v>99</v>
      </c>
      <c r="H428" s="308"/>
      <c r="I428" s="309">
        <f t="shared" si="19"/>
        <v>41.372619999999998</v>
      </c>
    </row>
    <row r="429" spans="1:9" x14ac:dyDescent="0.2">
      <c r="A429" s="304">
        <v>48</v>
      </c>
      <c r="B429" s="553">
        <v>48</v>
      </c>
      <c r="C429" s="553">
        <v>1</v>
      </c>
      <c r="D429" s="305"/>
      <c r="E429" s="309">
        <f t="shared" si="17"/>
        <v>20.188239999999997</v>
      </c>
      <c r="F429" s="498"/>
      <c r="G429" s="304">
        <f t="shared" si="18"/>
        <v>100</v>
      </c>
      <c r="H429" s="308"/>
      <c r="I429" s="309">
        <f t="shared" si="19"/>
        <v>41.787999999999997</v>
      </c>
    </row>
    <row r="430" spans="1:9" x14ac:dyDescent="0.2">
      <c r="A430" s="304">
        <v>49</v>
      </c>
      <c r="B430" s="553">
        <v>49</v>
      </c>
      <c r="C430" s="553">
        <v>1</v>
      </c>
      <c r="D430" s="305"/>
      <c r="E430" s="309">
        <f t="shared" si="17"/>
        <v>20.603619999999999</v>
      </c>
      <c r="F430" s="498"/>
      <c r="G430" s="499"/>
      <c r="H430" s="499"/>
      <c r="I430" s="499"/>
    </row>
    <row r="431" spans="1:9" x14ac:dyDescent="0.2">
      <c r="A431" s="304">
        <v>50</v>
      </c>
      <c r="B431" s="553">
        <v>50</v>
      </c>
      <c r="C431" s="553">
        <v>1</v>
      </c>
      <c r="D431" s="305"/>
      <c r="E431" s="309">
        <f t="shared" si="17"/>
        <v>21.018999999999998</v>
      </c>
      <c r="F431" s="498"/>
      <c r="G431" s="499"/>
      <c r="H431" s="499"/>
      <c r="I431" s="499"/>
    </row>
    <row r="432" spans="1:9" x14ac:dyDescent="0.2">
      <c r="A432" s="304">
        <v>51</v>
      </c>
      <c r="B432" s="553">
        <v>51</v>
      </c>
      <c r="C432" s="553">
        <v>1</v>
      </c>
      <c r="D432" s="305"/>
      <c r="E432" s="309">
        <f t="shared" si="17"/>
        <v>21.434380000000001</v>
      </c>
      <c r="F432" s="498"/>
      <c r="G432" s="499"/>
      <c r="H432" s="499"/>
      <c r="I432" s="499"/>
    </row>
    <row r="433" spans="1:9" x14ac:dyDescent="0.2">
      <c r="A433" s="304">
        <v>52</v>
      </c>
      <c r="B433" s="553">
        <v>52</v>
      </c>
      <c r="C433" s="553">
        <v>1</v>
      </c>
      <c r="D433" s="305"/>
      <c r="E433" s="309">
        <f t="shared" si="17"/>
        <v>21.84976</v>
      </c>
      <c r="F433" s="498"/>
      <c r="G433" s="499"/>
      <c r="H433" s="499"/>
      <c r="I433" s="499"/>
    </row>
    <row r="434" spans="1:9" x14ac:dyDescent="0.2">
      <c r="A434" s="304">
        <v>53</v>
      </c>
      <c r="B434" s="553">
        <v>53</v>
      </c>
      <c r="C434" s="553">
        <v>1</v>
      </c>
      <c r="D434" s="305"/>
      <c r="E434" s="309">
        <f t="shared" si="17"/>
        <v>22.265139999999999</v>
      </c>
      <c r="F434" s="498"/>
      <c r="G434" s="499"/>
      <c r="H434" s="499"/>
      <c r="I434" s="499"/>
    </row>
    <row r="435" spans="1:9" x14ac:dyDescent="0.2">
      <c r="A435" s="304">
        <v>54</v>
      </c>
      <c r="B435" s="553">
        <v>54</v>
      </c>
      <c r="C435" s="553">
        <v>1</v>
      </c>
      <c r="D435" s="305"/>
      <c r="E435" s="309">
        <f t="shared" si="17"/>
        <v>22.680520000000001</v>
      </c>
      <c r="F435" s="498"/>
      <c r="G435" s="499"/>
      <c r="H435" s="499"/>
      <c r="I435" s="499"/>
    </row>
    <row r="436" spans="1:9" x14ac:dyDescent="0.2">
      <c r="A436" s="304">
        <v>55</v>
      </c>
      <c r="B436" s="553">
        <v>55</v>
      </c>
      <c r="C436" s="553">
        <v>1</v>
      </c>
      <c r="D436" s="305"/>
      <c r="E436" s="309">
        <f t="shared" si="17"/>
        <v>23.0959</v>
      </c>
      <c r="F436" s="498"/>
      <c r="G436" s="499"/>
      <c r="H436" s="499"/>
      <c r="I436" s="499"/>
    </row>
    <row r="437" spans="1:9" x14ac:dyDescent="0.2">
      <c r="A437" s="304">
        <v>56</v>
      </c>
      <c r="B437" s="553">
        <v>56</v>
      </c>
      <c r="C437" s="553">
        <v>1</v>
      </c>
      <c r="D437" s="305"/>
      <c r="E437" s="309">
        <f t="shared" si="17"/>
        <v>23.511279999999999</v>
      </c>
      <c r="F437" s="498"/>
      <c r="G437" s="499"/>
      <c r="H437" s="499"/>
      <c r="I437" s="499"/>
    </row>
    <row r="438" spans="1:9" x14ac:dyDescent="0.2">
      <c r="A438" s="304">
        <v>57</v>
      </c>
      <c r="B438" s="553">
        <v>57</v>
      </c>
      <c r="C438" s="553">
        <v>1</v>
      </c>
      <c r="D438" s="305"/>
      <c r="E438" s="309">
        <f t="shared" si="17"/>
        <v>23.926659999999998</v>
      </c>
      <c r="F438" s="498"/>
      <c r="G438" s="499"/>
      <c r="H438" s="499"/>
      <c r="I438" s="499"/>
    </row>
    <row r="439" spans="1:9" x14ac:dyDescent="0.2">
      <c r="A439" s="304">
        <v>58</v>
      </c>
      <c r="B439" s="553">
        <v>58</v>
      </c>
      <c r="C439" s="553">
        <v>1</v>
      </c>
      <c r="D439" s="305"/>
      <c r="E439" s="309">
        <f t="shared" si="17"/>
        <v>24.342039999999997</v>
      </c>
      <c r="F439" s="498"/>
      <c r="G439" s="499"/>
      <c r="H439" s="499"/>
      <c r="I439" s="499"/>
    </row>
    <row r="440" spans="1:9" x14ac:dyDescent="0.2">
      <c r="A440" s="304">
        <v>59</v>
      </c>
      <c r="B440" s="553">
        <v>59</v>
      </c>
      <c r="C440" s="553">
        <v>1</v>
      </c>
      <c r="D440" s="305"/>
      <c r="E440" s="309">
        <f t="shared" si="17"/>
        <v>24.757419999999996</v>
      </c>
      <c r="F440" s="498"/>
      <c r="G440" s="499"/>
      <c r="H440" s="499"/>
      <c r="I440" s="499"/>
    </row>
    <row r="441" spans="1:9" x14ac:dyDescent="0.2">
      <c r="A441" s="304">
        <v>60</v>
      </c>
      <c r="B441" s="553">
        <v>60</v>
      </c>
      <c r="C441" s="553">
        <v>1</v>
      </c>
      <c r="D441" s="305"/>
      <c r="E441" s="309">
        <f t="shared" si="17"/>
        <v>25.172799999999999</v>
      </c>
      <c r="F441" s="498"/>
      <c r="G441" s="499"/>
      <c r="H441" s="499"/>
      <c r="I441" s="499"/>
    </row>
    <row r="442" spans="1:9" x14ac:dyDescent="0.2">
      <c r="A442" s="304">
        <v>61</v>
      </c>
      <c r="B442" s="553">
        <v>61</v>
      </c>
      <c r="C442" s="553">
        <v>1</v>
      </c>
      <c r="D442" s="305"/>
      <c r="E442" s="309">
        <f t="shared" si="17"/>
        <v>25.588179999999998</v>
      </c>
      <c r="F442" s="498"/>
      <c r="G442" s="499"/>
      <c r="H442" s="499"/>
      <c r="I442" s="499"/>
    </row>
    <row r="443" spans="1:9" x14ac:dyDescent="0.2">
      <c r="A443" s="304">
        <v>62</v>
      </c>
      <c r="B443" s="553">
        <v>62</v>
      </c>
      <c r="C443" s="553">
        <v>1</v>
      </c>
      <c r="D443" s="305"/>
      <c r="E443" s="309">
        <f t="shared" si="17"/>
        <v>26.00356</v>
      </c>
      <c r="F443" s="498"/>
      <c r="G443" s="499"/>
    </row>
    <row r="444" spans="1:9" x14ac:dyDescent="0.2">
      <c r="A444" s="304">
        <v>63</v>
      </c>
      <c r="B444" s="553">
        <v>63</v>
      </c>
      <c r="C444" s="553">
        <v>1</v>
      </c>
      <c r="D444" s="305"/>
      <c r="E444" s="309">
        <f t="shared" si="17"/>
        <v>26.418939999999999</v>
      </c>
      <c r="F444" s="498"/>
      <c r="G444" s="499"/>
    </row>
    <row r="445" spans="1:9" x14ac:dyDescent="0.2">
      <c r="A445" s="304">
        <v>64</v>
      </c>
      <c r="B445" s="553">
        <v>64</v>
      </c>
      <c r="C445" s="553">
        <v>1</v>
      </c>
      <c r="D445" s="305"/>
      <c r="E445" s="309">
        <f t="shared" si="17"/>
        <v>26.834319999999998</v>
      </c>
      <c r="F445" s="498"/>
      <c r="G445" s="499"/>
    </row>
    <row r="446" spans="1:9" x14ac:dyDescent="0.2">
      <c r="A446" s="304">
        <v>65</v>
      </c>
      <c r="B446" s="553">
        <v>65</v>
      </c>
      <c r="C446" s="553">
        <v>1</v>
      </c>
      <c r="D446" s="305"/>
      <c r="E446" s="309">
        <f t="shared" si="17"/>
        <v>27.249699999999997</v>
      </c>
      <c r="F446" s="498"/>
      <c r="G446" s="499"/>
    </row>
    <row r="447" spans="1:9" x14ac:dyDescent="0.2">
      <c r="A447" s="304">
        <v>66</v>
      </c>
      <c r="B447" s="553">
        <v>66</v>
      </c>
      <c r="C447" s="553">
        <v>1</v>
      </c>
      <c r="D447" s="305"/>
      <c r="E447" s="309">
        <f t="shared" ref="E447:E481" si="20">(($C$376*B447)+($D$376*C447))*(1-D447)*5%</f>
        <v>27.665079999999996</v>
      </c>
      <c r="F447" s="498"/>
      <c r="G447" s="499"/>
    </row>
    <row r="448" spans="1:9" x14ac:dyDescent="0.2">
      <c r="A448" s="304">
        <v>67</v>
      </c>
      <c r="B448" s="553">
        <v>67</v>
      </c>
      <c r="C448" s="553">
        <v>1</v>
      </c>
      <c r="D448" s="305"/>
      <c r="E448" s="309">
        <f t="shared" si="20"/>
        <v>28.080460000000002</v>
      </c>
      <c r="F448" s="498"/>
      <c r="G448" s="499"/>
    </row>
    <row r="449" spans="1:7" x14ac:dyDescent="0.2">
      <c r="A449" s="304">
        <v>68</v>
      </c>
      <c r="B449" s="553">
        <v>68</v>
      </c>
      <c r="C449" s="553">
        <v>1</v>
      </c>
      <c r="D449" s="305"/>
      <c r="E449" s="309">
        <f t="shared" si="20"/>
        <v>28.495840000000001</v>
      </c>
      <c r="F449" s="498"/>
      <c r="G449" s="499"/>
    </row>
    <row r="450" spans="1:7" x14ac:dyDescent="0.2">
      <c r="A450" s="304">
        <v>69</v>
      </c>
      <c r="B450" s="553">
        <v>69</v>
      </c>
      <c r="C450" s="553">
        <v>1</v>
      </c>
      <c r="D450" s="305"/>
      <c r="E450" s="309">
        <f t="shared" si="20"/>
        <v>28.91122</v>
      </c>
      <c r="F450" s="498"/>
      <c r="G450" s="499"/>
    </row>
    <row r="451" spans="1:7" x14ac:dyDescent="0.2">
      <c r="A451" s="304">
        <v>70</v>
      </c>
      <c r="B451" s="553">
        <v>70</v>
      </c>
      <c r="C451" s="553">
        <v>1</v>
      </c>
      <c r="D451" s="305"/>
      <c r="E451" s="309">
        <f t="shared" si="20"/>
        <v>29.326599999999999</v>
      </c>
      <c r="F451" s="498"/>
      <c r="G451" s="499"/>
    </row>
    <row r="452" spans="1:7" x14ac:dyDescent="0.2">
      <c r="A452" s="304">
        <v>71</v>
      </c>
      <c r="B452" s="553">
        <v>71</v>
      </c>
      <c r="C452" s="553">
        <v>1</v>
      </c>
      <c r="D452" s="305"/>
      <c r="E452" s="309">
        <f t="shared" si="20"/>
        <v>29.741979999999998</v>
      </c>
      <c r="F452" s="498"/>
      <c r="G452" s="499"/>
    </row>
    <row r="453" spans="1:7" x14ac:dyDescent="0.2">
      <c r="A453" s="304">
        <v>72</v>
      </c>
      <c r="B453" s="553">
        <v>72</v>
      </c>
      <c r="C453" s="553">
        <v>1</v>
      </c>
      <c r="D453" s="305"/>
      <c r="E453" s="309">
        <f t="shared" si="20"/>
        <v>30.157359999999997</v>
      </c>
      <c r="F453" s="498"/>
      <c r="G453" s="499"/>
    </row>
    <row r="454" spans="1:7" x14ac:dyDescent="0.2">
      <c r="A454" s="304">
        <v>73</v>
      </c>
      <c r="B454" s="553">
        <v>73</v>
      </c>
      <c r="C454" s="553">
        <v>1</v>
      </c>
      <c r="D454" s="305"/>
      <c r="E454" s="309">
        <f t="shared" si="20"/>
        <v>30.57274</v>
      </c>
      <c r="F454" s="498"/>
      <c r="G454" s="499"/>
    </row>
    <row r="455" spans="1:7" x14ac:dyDescent="0.2">
      <c r="A455" s="304">
        <v>74</v>
      </c>
      <c r="B455" s="553">
        <v>74</v>
      </c>
      <c r="C455" s="553">
        <v>1</v>
      </c>
      <c r="D455" s="305"/>
      <c r="E455" s="309">
        <f t="shared" si="20"/>
        <v>30.988119999999999</v>
      </c>
      <c r="F455" s="498"/>
      <c r="G455" s="499"/>
    </row>
    <row r="456" spans="1:7" x14ac:dyDescent="0.2">
      <c r="A456" s="304">
        <v>75</v>
      </c>
      <c r="B456" s="553">
        <v>75</v>
      </c>
      <c r="C456" s="553">
        <v>1</v>
      </c>
      <c r="D456" s="305"/>
      <c r="E456" s="309">
        <f t="shared" si="20"/>
        <v>31.403499999999998</v>
      </c>
      <c r="F456" s="498"/>
      <c r="G456" s="499"/>
    </row>
    <row r="457" spans="1:7" x14ac:dyDescent="0.2">
      <c r="A457" s="304">
        <v>76</v>
      </c>
      <c r="B457" s="553">
        <v>76</v>
      </c>
      <c r="C457" s="553">
        <v>1</v>
      </c>
      <c r="D457" s="305"/>
      <c r="E457" s="309">
        <f t="shared" si="20"/>
        <v>31.818879999999996</v>
      </c>
      <c r="F457" s="498"/>
      <c r="G457" s="499"/>
    </row>
    <row r="458" spans="1:7" x14ac:dyDescent="0.2">
      <c r="A458" s="304">
        <v>77</v>
      </c>
      <c r="B458" s="553">
        <v>77</v>
      </c>
      <c r="C458" s="553">
        <v>1</v>
      </c>
      <c r="D458" s="305"/>
      <c r="E458" s="309">
        <f t="shared" si="20"/>
        <v>32.234259999999999</v>
      </c>
      <c r="F458" s="498"/>
      <c r="G458" s="499"/>
    </row>
    <row r="459" spans="1:7" x14ac:dyDescent="0.2">
      <c r="A459" s="304">
        <v>78</v>
      </c>
      <c r="B459" s="553">
        <v>78</v>
      </c>
      <c r="C459" s="553">
        <v>1</v>
      </c>
      <c r="D459" s="305"/>
      <c r="E459" s="309">
        <f t="shared" si="20"/>
        <v>32.649639999999998</v>
      </c>
      <c r="F459" s="498"/>
      <c r="G459" s="499"/>
    </row>
    <row r="460" spans="1:7" x14ac:dyDescent="0.2">
      <c r="A460" s="304">
        <v>79</v>
      </c>
      <c r="B460" s="553">
        <v>79</v>
      </c>
      <c r="C460" s="553">
        <v>1</v>
      </c>
      <c r="D460" s="305"/>
      <c r="E460" s="309">
        <f t="shared" si="20"/>
        <v>33.065019999999997</v>
      </c>
      <c r="F460" s="498"/>
      <c r="G460" s="499"/>
    </row>
    <row r="461" spans="1:7" x14ac:dyDescent="0.2">
      <c r="A461" s="304">
        <v>80</v>
      </c>
      <c r="B461" s="553">
        <v>80</v>
      </c>
      <c r="C461" s="553">
        <v>1</v>
      </c>
      <c r="D461" s="305"/>
      <c r="E461" s="309">
        <f t="shared" si="20"/>
        <v>33.480399999999996</v>
      </c>
      <c r="F461" s="498"/>
      <c r="G461" s="499"/>
    </row>
    <row r="462" spans="1:7" x14ac:dyDescent="0.2">
      <c r="A462" s="304">
        <v>81</v>
      </c>
      <c r="B462" s="553">
        <v>81</v>
      </c>
      <c r="C462" s="553">
        <v>1</v>
      </c>
      <c r="D462" s="305"/>
      <c r="E462" s="309">
        <f t="shared" si="20"/>
        <v>33.895779999999995</v>
      </c>
      <c r="F462" s="498"/>
      <c r="G462" s="499"/>
    </row>
    <row r="463" spans="1:7" x14ac:dyDescent="0.2">
      <c r="A463" s="304">
        <v>82</v>
      </c>
      <c r="B463" s="553">
        <v>82</v>
      </c>
      <c r="C463" s="553">
        <v>1</v>
      </c>
      <c r="D463" s="305"/>
      <c r="E463" s="309">
        <f t="shared" si="20"/>
        <v>34.311159999999994</v>
      </c>
      <c r="F463" s="498"/>
      <c r="G463" s="499"/>
    </row>
    <row r="464" spans="1:7" x14ac:dyDescent="0.2">
      <c r="A464" s="304">
        <v>83</v>
      </c>
      <c r="B464" s="553">
        <v>83</v>
      </c>
      <c r="C464" s="553">
        <v>1</v>
      </c>
      <c r="D464" s="305"/>
      <c r="E464" s="309">
        <f t="shared" si="20"/>
        <v>34.726539999999993</v>
      </c>
      <c r="F464" s="498"/>
      <c r="G464" s="499"/>
    </row>
    <row r="465" spans="1:7" x14ac:dyDescent="0.2">
      <c r="A465" s="304">
        <v>84</v>
      </c>
      <c r="B465" s="553">
        <v>84</v>
      </c>
      <c r="C465" s="553">
        <v>1</v>
      </c>
      <c r="D465" s="305"/>
      <c r="E465" s="309">
        <f t="shared" si="20"/>
        <v>35.141919999999992</v>
      </c>
      <c r="F465" s="498"/>
      <c r="G465" s="499"/>
    </row>
    <row r="466" spans="1:7" x14ac:dyDescent="0.2">
      <c r="A466" s="304">
        <v>85</v>
      </c>
      <c r="B466" s="553">
        <v>85</v>
      </c>
      <c r="C466" s="553">
        <v>1</v>
      </c>
      <c r="D466" s="305"/>
      <c r="E466" s="309">
        <f t="shared" si="20"/>
        <v>35.557299999999998</v>
      </c>
      <c r="F466" s="498"/>
      <c r="G466" s="499"/>
    </row>
    <row r="467" spans="1:7" x14ac:dyDescent="0.2">
      <c r="A467" s="304">
        <v>86</v>
      </c>
      <c r="B467" s="553">
        <v>86</v>
      </c>
      <c r="C467" s="553">
        <v>1</v>
      </c>
      <c r="D467" s="305"/>
      <c r="E467" s="309">
        <f t="shared" si="20"/>
        <v>35.972679999999997</v>
      </c>
      <c r="F467" s="498"/>
      <c r="G467" s="499"/>
    </row>
    <row r="468" spans="1:7" x14ac:dyDescent="0.2">
      <c r="A468" s="304">
        <v>87</v>
      </c>
      <c r="B468" s="553">
        <v>87</v>
      </c>
      <c r="C468" s="553">
        <v>1</v>
      </c>
      <c r="D468" s="305"/>
      <c r="E468" s="309">
        <f t="shared" si="20"/>
        <v>36.388059999999996</v>
      </c>
      <c r="F468" s="498"/>
      <c r="G468" s="499"/>
    </row>
    <row r="469" spans="1:7" x14ac:dyDescent="0.2">
      <c r="A469" s="304">
        <v>88</v>
      </c>
      <c r="B469" s="553">
        <v>88</v>
      </c>
      <c r="C469" s="553">
        <v>1</v>
      </c>
      <c r="D469" s="305"/>
      <c r="E469" s="309">
        <f t="shared" si="20"/>
        <v>36.803439999999995</v>
      </c>
      <c r="F469" s="502" t="s">
        <v>5</v>
      </c>
      <c r="G469" s="499"/>
    </row>
    <row r="470" spans="1:7" x14ac:dyDescent="0.2">
      <c r="A470" s="304">
        <v>89</v>
      </c>
      <c r="B470" s="553">
        <v>89</v>
      </c>
      <c r="C470" s="553">
        <v>1</v>
      </c>
      <c r="D470" s="305"/>
      <c r="E470" s="309">
        <f t="shared" si="20"/>
        <v>37.218819999999994</v>
      </c>
      <c r="F470" s="502"/>
      <c r="G470" s="499"/>
    </row>
    <row r="471" spans="1:7" x14ac:dyDescent="0.2">
      <c r="A471" s="304">
        <v>90</v>
      </c>
      <c r="B471" s="553">
        <v>90</v>
      </c>
      <c r="C471" s="553">
        <v>1</v>
      </c>
      <c r="D471" s="305"/>
      <c r="E471" s="309">
        <f t="shared" si="20"/>
        <v>37.634199999999993</v>
      </c>
      <c r="F471" s="502"/>
      <c r="G471" s="499"/>
    </row>
    <row r="472" spans="1:7" x14ac:dyDescent="0.2">
      <c r="A472" s="304">
        <v>91</v>
      </c>
      <c r="B472" s="553">
        <v>91</v>
      </c>
      <c r="C472" s="553">
        <v>1</v>
      </c>
      <c r="D472" s="305"/>
      <c r="E472" s="309">
        <f t="shared" si="20"/>
        <v>38.049579999999999</v>
      </c>
      <c r="F472" s="502" t="s">
        <v>14</v>
      </c>
      <c r="G472" s="499"/>
    </row>
    <row r="473" spans="1:7" x14ac:dyDescent="0.2">
      <c r="A473" s="304">
        <v>92</v>
      </c>
      <c r="B473" s="553">
        <v>92</v>
      </c>
      <c r="C473" s="553">
        <v>1</v>
      </c>
      <c r="D473" s="305"/>
      <c r="E473" s="309">
        <f t="shared" si="20"/>
        <v>38.464959999999998</v>
      </c>
      <c r="F473" s="502" t="s">
        <v>217</v>
      </c>
      <c r="G473" s="499"/>
    </row>
    <row r="474" spans="1:7" x14ac:dyDescent="0.2">
      <c r="A474" s="304">
        <v>93</v>
      </c>
      <c r="B474" s="553">
        <v>93</v>
      </c>
      <c r="C474" s="553">
        <v>1</v>
      </c>
      <c r="D474" s="305"/>
      <c r="E474" s="309">
        <f t="shared" si="20"/>
        <v>38.880339999999997</v>
      </c>
      <c r="F474" s="502"/>
      <c r="G474" s="499"/>
    </row>
    <row r="475" spans="1:7" x14ac:dyDescent="0.2">
      <c r="A475" s="304">
        <v>94</v>
      </c>
      <c r="B475" s="553">
        <v>94</v>
      </c>
      <c r="C475" s="553">
        <v>1</v>
      </c>
      <c r="D475" s="305"/>
      <c r="E475" s="309">
        <f t="shared" si="20"/>
        <v>39.295719999999996</v>
      </c>
      <c r="F475" s="502"/>
      <c r="G475" s="499"/>
    </row>
    <row r="476" spans="1:7" x14ac:dyDescent="0.2">
      <c r="A476" s="304">
        <v>95</v>
      </c>
      <c r="B476" s="553">
        <v>95</v>
      </c>
      <c r="C476" s="553">
        <v>1</v>
      </c>
      <c r="D476" s="305"/>
      <c r="E476" s="309">
        <f t="shared" si="20"/>
        <v>39.711099999999995</v>
      </c>
      <c r="F476" s="502" t="s">
        <v>11</v>
      </c>
      <c r="G476" s="499"/>
    </row>
    <row r="477" spans="1:7" x14ac:dyDescent="0.2">
      <c r="A477" s="304">
        <v>96</v>
      </c>
      <c r="B477" s="553">
        <v>96</v>
      </c>
      <c r="C477" s="553">
        <v>1</v>
      </c>
      <c r="D477" s="305"/>
      <c r="E477" s="309">
        <f t="shared" si="20"/>
        <v>40.126479999999994</v>
      </c>
      <c r="F477" s="502"/>
      <c r="G477" s="499"/>
    </row>
    <row r="478" spans="1:7" x14ac:dyDescent="0.2">
      <c r="A478" s="304">
        <v>97</v>
      </c>
      <c r="B478" s="553">
        <v>97</v>
      </c>
      <c r="C478" s="553">
        <v>1</v>
      </c>
      <c r="D478" s="305"/>
      <c r="E478" s="309">
        <f t="shared" si="20"/>
        <v>40.54186</v>
      </c>
      <c r="F478" s="502"/>
      <c r="G478" s="499"/>
    </row>
    <row r="479" spans="1:7" x14ac:dyDescent="0.2">
      <c r="A479" s="304">
        <v>98</v>
      </c>
      <c r="B479" s="553">
        <v>98</v>
      </c>
      <c r="C479" s="553">
        <v>1</v>
      </c>
      <c r="D479" s="305"/>
      <c r="E479" s="309">
        <f t="shared" si="20"/>
        <v>40.957239999999999</v>
      </c>
      <c r="F479" s="502" t="s">
        <v>219</v>
      </c>
      <c r="G479" s="499"/>
    </row>
    <row r="480" spans="1:7" x14ac:dyDescent="0.2">
      <c r="A480" s="304">
        <v>99</v>
      </c>
      <c r="B480" s="553">
        <v>99</v>
      </c>
      <c r="C480" s="553">
        <v>1</v>
      </c>
      <c r="D480" s="305"/>
      <c r="E480" s="309">
        <f t="shared" si="20"/>
        <v>41.372619999999998</v>
      </c>
      <c r="F480" s="502" t="s">
        <v>220</v>
      </c>
      <c r="G480" s="499"/>
    </row>
    <row r="481" spans="1:7" x14ac:dyDescent="0.2">
      <c r="A481" s="304">
        <v>100</v>
      </c>
      <c r="B481" s="553">
        <v>100</v>
      </c>
      <c r="C481" s="553">
        <v>1</v>
      </c>
      <c r="D481" s="305"/>
      <c r="E481" s="309">
        <f t="shared" si="20"/>
        <v>41.787999999999997</v>
      </c>
      <c r="F481" s="503"/>
      <c r="G481" s="499"/>
    </row>
    <row r="482" spans="1:7" x14ac:dyDescent="0.2">
      <c r="A482" s="424"/>
      <c r="B482" s="554"/>
      <c r="C482" s="555"/>
      <c r="D482" s="311"/>
      <c r="E482" s="312"/>
    </row>
    <row r="485" spans="1:7" x14ac:dyDescent="0.2">
      <c r="A485" s="58"/>
    </row>
    <row r="486" spans="1:7" ht="15" x14ac:dyDescent="0.35">
      <c r="A486" s="659" t="s">
        <v>241</v>
      </c>
    </row>
    <row r="487" spans="1:7" x14ac:dyDescent="0.2">
      <c r="A487" s="295" t="s">
        <v>245</v>
      </c>
      <c r="B487" s="563"/>
      <c r="C487" s="563"/>
      <c r="D487" s="563"/>
      <c r="E487" s="76"/>
    </row>
    <row r="488" spans="1:7" x14ac:dyDescent="0.2">
      <c r="A488" s="295" t="s">
        <v>202</v>
      </c>
      <c r="B488" s="563"/>
      <c r="C488" s="563"/>
      <c r="D488" s="563"/>
      <c r="E488" s="564"/>
    </row>
    <row r="489" spans="1:7" x14ac:dyDescent="0.2">
      <c r="A489" s="1124" t="s">
        <v>3</v>
      </c>
      <c r="B489" s="1125"/>
      <c r="C489" s="1128" t="s">
        <v>134</v>
      </c>
      <c r="D489" s="1123"/>
      <c r="E489" s="564"/>
    </row>
    <row r="490" spans="1:7" x14ac:dyDescent="0.2">
      <c r="A490" s="1126"/>
      <c r="B490" s="1127"/>
      <c r="C490" s="565" t="s">
        <v>135</v>
      </c>
      <c r="D490" s="565" t="s">
        <v>136</v>
      </c>
      <c r="E490" s="564"/>
    </row>
    <row r="491" spans="1:7" x14ac:dyDescent="0.2">
      <c r="A491" s="644" t="s">
        <v>137</v>
      </c>
      <c r="B491" s="645"/>
      <c r="C491" s="646">
        <v>5.1313000000000004</v>
      </c>
      <c r="D491" s="647"/>
      <c r="E491" s="76"/>
    </row>
    <row r="492" spans="1:7" x14ac:dyDescent="0.2">
      <c r="A492" s="648" t="s">
        <v>138</v>
      </c>
      <c r="B492" s="296"/>
      <c r="C492" s="649">
        <v>0.77739999999999998</v>
      </c>
      <c r="D492" s="650"/>
      <c r="E492" s="76"/>
    </row>
    <row r="493" spans="1:7" x14ac:dyDescent="0.2">
      <c r="A493" s="648" t="s">
        <v>139</v>
      </c>
      <c r="B493" s="296"/>
      <c r="C493" s="651">
        <v>0.74480000000000002</v>
      </c>
      <c r="D493" s="650"/>
      <c r="E493" s="76"/>
    </row>
    <row r="494" spans="1:7" x14ac:dyDescent="0.2">
      <c r="A494" s="648" t="s">
        <v>140</v>
      </c>
      <c r="B494" s="296"/>
      <c r="C494" s="652">
        <v>0.84489999999999998</v>
      </c>
      <c r="D494" s="650"/>
      <c r="E494" s="76"/>
    </row>
    <row r="495" spans="1:7" x14ac:dyDescent="0.2">
      <c r="A495" s="648" t="s">
        <v>141</v>
      </c>
      <c r="B495" s="296"/>
      <c r="C495" s="652">
        <v>0.7732</v>
      </c>
      <c r="D495" s="650"/>
      <c r="E495" s="76"/>
    </row>
    <row r="496" spans="1:7" x14ac:dyDescent="0.2">
      <c r="A496" s="648" t="s">
        <v>142</v>
      </c>
      <c r="B496" s="296"/>
      <c r="C496" s="653">
        <v>0.45689999999999997</v>
      </c>
      <c r="D496" s="654">
        <v>5</v>
      </c>
      <c r="E496" s="76"/>
    </row>
    <row r="497" spans="1:9" x14ac:dyDescent="0.2">
      <c r="A497" s="655" t="s">
        <v>2</v>
      </c>
      <c r="B497" s="656"/>
      <c r="C497" s="657">
        <f>SUM(C491:C496)</f>
        <v>8.7284999999999986</v>
      </c>
      <c r="D497" s="658">
        <f>SUM(D491:D496)</f>
        <v>5</v>
      </c>
      <c r="E497" s="77"/>
      <c r="F497" s="78"/>
      <c r="G497" s="78"/>
    </row>
    <row r="498" spans="1:9" x14ac:dyDescent="0.2">
      <c r="A498" s="296"/>
      <c r="B498" s="296"/>
      <c r="C498" s="296"/>
      <c r="D498" s="296"/>
    </row>
    <row r="499" spans="1:9" ht="45" x14ac:dyDescent="0.2">
      <c r="A499" s="556" t="s">
        <v>239</v>
      </c>
      <c r="B499" s="557" t="s">
        <v>68</v>
      </c>
      <c r="C499" s="558" t="s">
        <v>204</v>
      </c>
      <c r="D499" s="556" t="s">
        <v>205</v>
      </c>
      <c r="E499" s="559" t="s">
        <v>206</v>
      </c>
      <c r="F499" s="76"/>
      <c r="G499" s="556" t="s">
        <v>239</v>
      </c>
      <c r="H499" s="560" t="str">
        <f>D499</f>
        <v>Lifeline Discount Rate</v>
      </c>
      <c r="I499" s="561" t="str">
        <f>E499</f>
        <v>SENIOR CITIZEN DISCOUNT (Php)</v>
      </c>
    </row>
    <row r="500" spans="1:9" x14ac:dyDescent="0.2">
      <c r="A500" s="304">
        <v>1</v>
      </c>
      <c r="B500" s="553">
        <v>1</v>
      </c>
      <c r="C500" s="553">
        <v>1</v>
      </c>
      <c r="D500" s="308">
        <v>0.25</v>
      </c>
      <c r="E500" s="309">
        <f>(($C$497*B500)+($D$497*C500))*(1-D500)*5%</f>
        <v>0.51481874999999999</v>
      </c>
      <c r="F500" s="498"/>
      <c r="G500" s="553">
        <f>A552</f>
        <v>53</v>
      </c>
      <c r="H500" s="660"/>
      <c r="I500" s="661">
        <f>E552</f>
        <v>23.380524999999999</v>
      </c>
    </row>
    <row r="501" spans="1:9" x14ac:dyDescent="0.2">
      <c r="A501" s="304">
        <v>2</v>
      </c>
      <c r="B501" s="553">
        <v>2</v>
      </c>
      <c r="C501" s="553">
        <v>1</v>
      </c>
      <c r="D501" s="308">
        <v>0.25</v>
      </c>
      <c r="E501" s="309">
        <f>(($C$497*B501)+($D$497*C501))*(1-D501)*5%</f>
        <v>0.84213749999999998</v>
      </c>
      <c r="F501" s="498"/>
      <c r="G501" s="304">
        <f t="shared" ref="G501:G547" si="21">A553</f>
        <v>54</v>
      </c>
      <c r="H501" s="308"/>
      <c r="I501" s="309">
        <f t="shared" ref="I501:I547" si="22">E553</f>
        <v>23.816949999999999</v>
      </c>
    </row>
    <row r="502" spans="1:9" x14ac:dyDescent="0.2">
      <c r="A502" s="304">
        <v>3</v>
      </c>
      <c r="B502" s="553">
        <v>3</v>
      </c>
      <c r="C502" s="553">
        <v>1</v>
      </c>
      <c r="D502" s="308">
        <v>0.25</v>
      </c>
      <c r="E502" s="309">
        <f t="shared" ref="E502:E565" si="23">(($C$497*B502)+($D$497*C502))*(1-D502)*5%</f>
        <v>1.1694562500000001</v>
      </c>
      <c r="F502" s="498"/>
      <c r="G502" s="304">
        <f t="shared" si="21"/>
        <v>55</v>
      </c>
      <c r="H502" s="308"/>
      <c r="I502" s="309">
        <f t="shared" si="22"/>
        <v>24.253374999999998</v>
      </c>
    </row>
    <row r="503" spans="1:9" x14ac:dyDescent="0.2">
      <c r="A503" s="304">
        <v>4</v>
      </c>
      <c r="B503" s="553">
        <v>4</v>
      </c>
      <c r="C503" s="553">
        <v>1</v>
      </c>
      <c r="D503" s="308">
        <v>0.25</v>
      </c>
      <c r="E503" s="309">
        <f t="shared" si="23"/>
        <v>1.496775</v>
      </c>
      <c r="F503" s="498"/>
      <c r="G503" s="304">
        <f t="shared" si="21"/>
        <v>56</v>
      </c>
      <c r="H503" s="308"/>
      <c r="I503" s="309">
        <f t="shared" si="22"/>
        <v>24.689799999999998</v>
      </c>
    </row>
    <row r="504" spans="1:9" x14ac:dyDescent="0.2">
      <c r="A504" s="304">
        <v>5</v>
      </c>
      <c r="B504" s="553">
        <v>5</v>
      </c>
      <c r="C504" s="553">
        <v>1</v>
      </c>
      <c r="D504" s="308">
        <v>0.25</v>
      </c>
      <c r="E504" s="309">
        <f t="shared" si="23"/>
        <v>1.8240937499999998</v>
      </c>
      <c r="F504" s="498"/>
      <c r="G504" s="304">
        <f t="shared" si="21"/>
        <v>57</v>
      </c>
      <c r="H504" s="308"/>
      <c r="I504" s="309">
        <f t="shared" si="22"/>
        <v>25.126224999999998</v>
      </c>
    </row>
    <row r="505" spans="1:9" x14ac:dyDescent="0.2">
      <c r="A505" s="304">
        <v>6</v>
      </c>
      <c r="B505" s="553">
        <v>6</v>
      </c>
      <c r="C505" s="553">
        <v>1</v>
      </c>
      <c r="D505" s="308">
        <v>0.25</v>
      </c>
      <c r="E505" s="309">
        <f t="shared" si="23"/>
        <v>2.1514125000000002</v>
      </c>
      <c r="F505" s="498"/>
      <c r="G505" s="304">
        <f t="shared" si="21"/>
        <v>58</v>
      </c>
      <c r="H505" s="308"/>
      <c r="I505" s="309">
        <f t="shared" si="22"/>
        <v>25.562649999999998</v>
      </c>
    </row>
    <row r="506" spans="1:9" x14ac:dyDescent="0.2">
      <c r="A506" s="304">
        <v>7</v>
      </c>
      <c r="B506" s="553">
        <v>7</v>
      </c>
      <c r="C506" s="553">
        <v>1</v>
      </c>
      <c r="D506" s="308">
        <v>0.25</v>
      </c>
      <c r="E506" s="309">
        <f t="shared" si="23"/>
        <v>2.4787312500000001</v>
      </c>
      <c r="F506" s="498"/>
      <c r="G506" s="304">
        <f t="shared" si="21"/>
        <v>59</v>
      </c>
      <c r="H506" s="308"/>
      <c r="I506" s="309">
        <f t="shared" si="22"/>
        <v>25.999074999999994</v>
      </c>
    </row>
    <row r="507" spans="1:9" x14ac:dyDescent="0.2">
      <c r="A507" s="304">
        <v>8</v>
      </c>
      <c r="B507" s="553">
        <v>8</v>
      </c>
      <c r="C507" s="553">
        <v>1</v>
      </c>
      <c r="D507" s="308">
        <v>0.25</v>
      </c>
      <c r="E507" s="309">
        <f t="shared" si="23"/>
        <v>2.8060499999999999</v>
      </c>
      <c r="F507" s="498"/>
      <c r="G507" s="304">
        <f t="shared" si="21"/>
        <v>60</v>
      </c>
      <c r="H507" s="308"/>
      <c r="I507" s="309">
        <f t="shared" si="22"/>
        <v>26.435499999999998</v>
      </c>
    </row>
    <row r="508" spans="1:9" x14ac:dyDescent="0.2">
      <c r="A508" s="304">
        <v>9</v>
      </c>
      <c r="B508" s="553">
        <v>9</v>
      </c>
      <c r="C508" s="553">
        <v>1</v>
      </c>
      <c r="D508" s="308">
        <v>0.25</v>
      </c>
      <c r="E508" s="309">
        <f t="shared" si="23"/>
        <v>3.1333687499999998</v>
      </c>
      <c r="F508" s="498"/>
      <c r="G508" s="304">
        <f t="shared" si="21"/>
        <v>61</v>
      </c>
      <c r="H508" s="308"/>
      <c r="I508" s="309">
        <f t="shared" si="22"/>
        <v>26.871924999999994</v>
      </c>
    </row>
    <row r="509" spans="1:9" x14ac:dyDescent="0.2">
      <c r="A509" s="304">
        <v>10</v>
      </c>
      <c r="B509" s="553">
        <v>10</v>
      </c>
      <c r="C509" s="553">
        <v>1</v>
      </c>
      <c r="D509" s="308">
        <v>0.25</v>
      </c>
      <c r="E509" s="309">
        <f t="shared" si="23"/>
        <v>3.4606874999999997</v>
      </c>
      <c r="F509" s="498"/>
      <c r="G509" s="304">
        <f t="shared" si="21"/>
        <v>62</v>
      </c>
      <c r="H509" s="308"/>
      <c r="I509" s="309">
        <f t="shared" si="22"/>
        <v>27.308349999999997</v>
      </c>
    </row>
    <row r="510" spans="1:9" x14ac:dyDescent="0.2">
      <c r="A510" s="304">
        <v>11</v>
      </c>
      <c r="B510" s="553">
        <v>11</v>
      </c>
      <c r="C510" s="553">
        <v>1</v>
      </c>
      <c r="D510" s="308">
        <v>0.25</v>
      </c>
      <c r="E510" s="309">
        <f t="shared" si="23"/>
        <v>3.7880062499999996</v>
      </c>
      <c r="F510" s="498"/>
      <c r="G510" s="304">
        <f t="shared" si="21"/>
        <v>63</v>
      </c>
      <c r="H510" s="308"/>
      <c r="I510" s="309">
        <f t="shared" si="22"/>
        <v>27.744774999999994</v>
      </c>
    </row>
    <row r="511" spans="1:9" x14ac:dyDescent="0.2">
      <c r="A511" s="304">
        <v>12</v>
      </c>
      <c r="B511" s="553">
        <v>12</v>
      </c>
      <c r="C511" s="553">
        <v>1</v>
      </c>
      <c r="D511" s="308">
        <v>0.25</v>
      </c>
      <c r="E511" s="309">
        <f t="shared" si="23"/>
        <v>4.1153250000000003</v>
      </c>
      <c r="F511" s="498"/>
      <c r="G511" s="304">
        <f t="shared" si="21"/>
        <v>64</v>
      </c>
      <c r="H511" s="308"/>
      <c r="I511" s="309">
        <f t="shared" si="22"/>
        <v>28.181199999999997</v>
      </c>
    </row>
    <row r="512" spans="1:9" x14ac:dyDescent="0.2">
      <c r="A512" s="304">
        <v>13</v>
      </c>
      <c r="B512" s="553">
        <v>13</v>
      </c>
      <c r="C512" s="553">
        <v>1</v>
      </c>
      <c r="D512" s="308">
        <v>0.25</v>
      </c>
      <c r="E512" s="309">
        <f t="shared" si="23"/>
        <v>4.4426437499999993</v>
      </c>
      <c r="F512" s="498"/>
      <c r="G512" s="304">
        <f t="shared" si="21"/>
        <v>65</v>
      </c>
      <c r="H512" s="308"/>
      <c r="I512" s="309">
        <f t="shared" si="22"/>
        <v>28.617625</v>
      </c>
    </row>
    <row r="513" spans="1:9" x14ac:dyDescent="0.2">
      <c r="A513" s="304">
        <v>14</v>
      </c>
      <c r="B513" s="553">
        <v>14</v>
      </c>
      <c r="C513" s="553">
        <v>1</v>
      </c>
      <c r="D513" s="308">
        <v>0.25</v>
      </c>
      <c r="E513" s="309">
        <f t="shared" si="23"/>
        <v>4.7699625000000001</v>
      </c>
      <c r="F513" s="498"/>
      <c r="G513" s="304">
        <f t="shared" si="21"/>
        <v>66</v>
      </c>
      <c r="H513" s="308"/>
      <c r="I513" s="309">
        <f t="shared" si="22"/>
        <v>29.054049999999997</v>
      </c>
    </row>
    <row r="514" spans="1:9" x14ac:dyDescent="0.2">
      <c r="A514" s="304">
        <v>15</v>
      </c>
      <c r="B514" s="553">
        <v>15</v>
      </c>
      <c r="C514" s="553">
        <v>1</v>
      </c>
      <c r="D514" s="308">
        <v>0.25</v>
      </c>
      <c r="E514" s="309">
        <f t="shared" si="23"/>
        <v>5.0972812499999991</v>
      </c>
      <c r="F514" s="498"/>
      <c r="G514" s="304">
        <f t="shared" si="21"/>
        <v>67</v>
      </c>
      <c r="H514" s="308"/>
      <c r="I514" s="309">
        <f t="shared" si="22"/>
        <v>29.490475</v>
      </c>
    </row>
    <row r="515" spans="1:9" x14ac:dyDescent="0.2">
      <c r="A515" s="304">
        <v>16</v>
      </c>
      <c r="B515" s="553">
        <v>16</v>
      </c>
      <c r="C515" s="553">
        <v>1</v>
      </c>
      <c r="D515" s="308">
        <v>0.15</v>
      </c>
      <c r="E515" s="309">
        <f t="shared" si="23"/>
        <v>6.1478799999999989</v>
      </c>
      <c r="F515" s="498"/>
      <c r="G515" s="304">
        <f t="shared" si="21"/>
        <v>68</v>
      </c>
      <c r="H515" s="308"/>
      <c r="I515" s="309">
        <f t="shared" si="22"/>
        <v>29.926899999999996</v>
      </c>
    </row>
    <row r="516" spans="1:9" x14ac:dyDescent="0.2">
      <c r="A516" s="304">
        <v>17</v>
      </c>
      <c r="B516" s="553">
        <v>17</v>
      </c>
      <c r="C516" s="553">
        <v>1</v>
      </c>
      <c r="D516" s="308">
        <v>0.1</v>
      </c>
      <c r="E516" s="309">
        <f t="shared" si="23"/>
        <v>6.9023024999999993</v>
      </c>
      <c r="F516" s="498"/>
      <c r="G516" s="304">
        <f t="shared" si="21"/>
        <v>69</v>
      </c>
      <c r="H516" s="308"/>
      <c r="I516" s="309">
        <f t="shared" si="22"/>
        <v>30.363325</v>
      </c>
    </row>
    <row r="517" spans="1:9" x14ac:dyDescent="0.2">
      <c r="A517" s="304">
        <v>18</v>
      </c>
      <c r="B517" s="553">
        <v>18</v>
      </c>
      <c r="C517" s="553">
        <v>1</v>
      </c>
      <c r="D517" s="308">
        <v>0.1</v>
      </c>
      <c r="E517" s="309">
        <f t="shared" si="23"/>
        <v>7.2950849999999994</v>
      </c>
      <c r="F517" s="498"/>
      <c r="G517" s="304">
        <f t="shared" si="21"/>
        <v>70</v>
      </c>
      <c r="H517" s="308"/>
      <c r="I517" s="309">
        <f t="shared" si="22"/>
        <v>30.799749999999996</v>
      </c>
    </row>
    <row r="518" spans="1:9" x14ac:dyDescent="0.2">
      <c r="A518" s="304">
        <v>19</v>
      </c>
      <c r="B518" s="553">
        <v>19</v>
      </c>
      <c r="C518" s="553">
        <v>1</v>
      </c>
      <c r="D518" s="308">
        <v>0.05</v>
      </c>
      <c r="E518" s="309">
        <f t="shared" si="23"/>
        <v>8.1149712499999982</v>
      </c>
      <c r="F518" s="498"/>
      <c r="G518" s="304">
        <f t="shared" si="21"/>
        <v>71</v>
      </c>
      <c r="H518" s="308"/>
      <c r="I518" s="309">
        <f t="shared" si="22"/>
        <v>31.236174999999999</v>
      </c>
    </row>
    <row r="519" spans="1:9" x14ac:dyDescent="0.2">
      <c r="A519" s="304">
        <v>20</v>
      </c>
      <c r="B519" s="553">
        <v>20</v>
      </c>
      <c r="C519" s="553">
        <v>1</v>
      </c>
      <c r="D519" s="308">
        <v>0.05</v>
      </c>
      <c r="E519" s="309">
        <f t="shared" si="23"/>
        <v>8.5295749999999995</v>
      </c>
      <c r="F519" s="498"/>
      <c r="G519" s="304">
        <f t="shared" si="21"/>
        <v>72</v>
      </c>
      <c r="H519" s="308"/>
      <c r="I519" s="309">
        <f t="shared" si="22"/>
        <v>31.672599999999996</v>
      </c>
    </row>
    <row r="520" spans="1:9" x14ac:dyDescent="0.2">
      <c r="A520" s="304">
        <v>21</v>
      </c>
      <c r="B520" s="553">
        <v>21</v>
      </c>
      <c r="C520" s="553">
        <v>1</v>
      </c>
      <c r="D520" s="310"/>
      <c r="E520" s="309">
        <f t="shared" si="23"/>
        <v>9.4149249999999984</v>
      </c>
      <c r="F520" s="498"/>
      <c r="G520" s="304">
        <f t="shared" si="21"/>
        <v>73</v>
      </c>
      <c r="H520" s="308"/>
      <c r="I520" s="309">
        <f t="shared" si="22"/>
        <v>32.109024999999995</v>
      </c>
    </row>
    <row r="521" spans="1:9" x14ac:dyDescent="0.2">
      <c r="A521" s="304">
        <v>22</v>
      </c>
      <c r="B521" s="553">
        <v>22</v>
      </c>
      <c r="C521" s="553">
        <v>1</v>
      </c>
      <c r="D521" s="305"/>
      <c r="E521" s="309">
        <f t="shared" si="23"/>
        <v>9.8513499999999983</v>
      </c>
      <c r="F521" s="498"/>
      <c r="G521" s="304">
        <f t="shared" si="21"/>
        <v>74</v>
      </c>
      <c r="H521" s="308"/>
      <c r="I521" s="309">
        <f t="shared" si="22"/>
        <v>32.545449999999995</v>
      </c>
    </row>
    <row r="522" spans="1:9" x14ac:dyDescent="0.2">
      <c r="A522" s="304">
        <v>23</v>
      </c>
      <c r="B522" s="553">
        <v>23</v>
      </c>
      <c r="C522" s="553">
        <v>1</v>
      </c>
      <c r="D522" s="305"/>
      <c r="E522" s="309">
        <f t="shared" si="23"/>
        <v>10.287774999999998</v>
      </c>
      <c r="F522" s="498"/>
      <c r="G522" s="304">
        <f t="shared" si="21"/>
        <v>75</v>
      </c>
      <c r="H522" s="308"/>
      <c r="I522" s="309">
        <f t="shared" si="22"/>
        <v>32.981874999999995</v>
      </c>
    </row>
    <row r="523" spans="1:9" x14ac:dyDescent="0.2">
      <c r="A523" s="304">
        <v>24</v>
      </c>
      <c r="B523" s="553">
        <v>24</v>
      </c>
      <c r="C523" s="553">
        <v>1</v>
      </c>
      <c r="D523" s="305"/>
      <c r="E523" s="309">
        <f t="shared" si="23"/>
        <v>10.7242</v>
      </c>
      <c r="F523" s="498"/>
      <c r="G523" s="304">
        <f t="shared" si="21"/>
        <v>76</v>
      </c>
      <c r="H523" s="308"/>
      <c r="I523" s="309">
        <f t="shared" si="22"/>
        <v>33.418299999999995</v>
      </c>
    </row>
    <row r="524" spans="1:9" x14ac:dyDescent="0.2">
      <c r="A524" s="304">
        <v>25</v>
      </c>
      <c r="B524" s="553">
        <v>25</v>
      </c>
      <c r="C524" s="553">
        <v>1</v>
      </c>
      <c r="D524" s="305"/>
      <c r="E524" s="309">
        <f t="shared" si="23"/>
        <v>11.160625</v>
      </c>
      <c r="F524" s="498"/>
      <c r="G524" s="304">
        <f t="shared" si="21"/>
        <v>77</v>
      </c>
      <c r="H524" s="308"/>
      <c r="I524" s="309">
        <f t="shared" si="22"/>
        <v>33.854724999999995</v>
      </c>
    </row>
    <row r="525" spans="1:9" x14ac:dyDescent="0.2">
      <c r="A525" s="304">
        <v>26</v>
      </c>
      <c r="B525" s="553">
        <v>26</v>
      </c>
      <c r="C525" s="553">
        <v>1</v>
      </c>
      <c r="D525" s="305"/>
      <c r="E525" s="309">
        <f t="shared" si="23"/>
        <v>11.597049999999999</v>
      </c>
      <c r="F525" s="498"/>
      <c r="G525" s="304">
        <f t="shared" si="21"/>
        <v>78</v>
      </c>
      <c r="H525" s="308"/>
      <c r="I525" s="309">
        <f t="shared" si="22"/>
        <v>34.291149999999995</v>
      </c>
    </row>
    <row r="526" spans="1:9" x14ac:dyDescent="0.2">
      <c r="A526" s="304">
        <v>27</v>
      </c>
      <c r="B526" s="553">
        <v>27</v>
      </c>
      <c r="C526" s="553">
        <v>1</v>
      </c>
      <c r="D526" s="305"/>
      <c r="E526" s="309">
        <f t="shared" si="23"/>
        <v>12.033474999999999</v>
      </c>
      <c r="F526" s="498"/>
      <c r="G526" s="304">
        <f t="shared" si="21"/>
        <v>79</v>
      </c>
      <c r="H526" s="308"/>
      <c r="I526" s="309">
        <f t="shared" si="22"/>
        <v>34.727574999999995</v>
      </c>
    </row>
    <row r="527" spans="1:9" x14ac:dyDescent="0.2">
      <c r="A527" s="304">
        <v>28</v>
      </c>
      <c r="B527" s="553">
        <v>28</v>
      </c>
      <c r="C527" s="553">
        <v>1</v>
      </c>
      <c r="D527" s="305"/>
      <c r="E527" s="309">
        <f t="shared" si="23"/>
        <v>12.469899999999999</v>
      </c>
      <c r="F527" s="498"/>
      <c r="G527" s="304">
        <f t="shared" si="21"/>
        <v>80</v>
      </c>
      <c r="H527" s="308"/>
      <c r="I527" s="309">
        <f t="shared" si="22"/>
        <v>35.163999999999994</v>
      </c>
    </row>
    <row r="528" spans="1:9" x14ac:dyDescent="0.2">
      <c r="A528" s="304">
        <v>29</v>
      </c>
      <c r="B528" s="553">
        <v>29</v>
      </c>
      <c r="C528" s="553">
        <v>1</v>
      </c>
      <c r="D528" s="305"/>
      <c r="E528" s="309">
        <f t="shared" si="23"/>
        <v>12.906324999999999</v>
      </c>
      <c r="F528" s="498"/>
      <c r="G528" s="304">
        <f t="shared" si="21"/>
        <v>81</v>
      </c>
      <c r="H528" s="308"/>
      <c r="I528" s="309">
        <f t="shared" si="22"/>
        <v>35.600424999999994</v>
      </c>
    </row>
    <row r="529" spans="1:9" x14ac:dyDescent="0.2">
      <c r="A529" s="304">
        <v>30</v>
      </c>
      <c r="B529" s="553">
        <v>30</v>
      </c>
      <c r="C529" s="553">
        <v>1</v>
      </c>
      <c r="D529" s="305"/>
      <c r="E529" s="309">
        <f t="shared" si="23"/>
        <v>13.342749999999999</v>
      </c>
      <c r="F529" s="498"/>
      <c r="G529" s="304">
        <f t="shared" si="21"/>
        <v>82</v>
      </c>
      <c r="H529" s="308"/>
      <c r="I529" s="309">
        <f t="shared" si="22"/>
        <v>36.036849999999994</v>
      </c>
    </row>
    <row r="530" spans="1:9" x14ac:dyDescent="0.2">
      <c r="A530" s="304">
        <v>31</v>
      </c>
      <c r="B530" s="553">
        <v>31</v>
      </c>
      <c r="C530" s="553">
        <v>1</v>
      </c>
      <c r="D530" s="305"/>
      <c r="E530" s="309">
        <f t="shared" si="23"/>
        <v>13.779174999999999</v>
      </c>
      <c r="F530" s="498"/>
      <c r="G530" s="304">
        <f t="shared" si="21"/>
        <v>83</v>
      </c>
      <c r="H530" s="308"/>
      <c r="I530" s="309">
        <f t="shared" si="22"/>
        <v>36.473274999999994</v>
      </c>
    </row>
    <row r="531" spans="1:9" x14ac:dyDescent="0.2">
      <c r="A531" s="304">
        <v>32</v>
      </c>
      <c r="B531" s="553">
        <v>32</v>
      </c>
      <c r="C531" s="553">
        <v>1</v>
      </c>
      <c r="D531" s="305"/>
      <c r="E531" s="309">
        <f t="shared" si="23"/>
        <v>14.215599999999998</v>
      </c>
      <c r="F531" s="498"/>
      <c r="G531" s="304">
        <f t="shared" si="21"/>
        <v>84</v>
      </c>
      <c r="H531" s="308"/>
      <c r="I531" s="309">
        <f t="shared" si="22"/>
        <v>36.909699999999994</v>
      </c>
    </row>
    <row r="532" spans="1:9" x14ac:dyDescent="0.2">
      <c r="A532" s="304">
        <v>33</v>
      </c>
      <c r="B532" s="553">
        <v>33</v>
      </c>
      <c r="C532" s="553">
        <v>1</v>
      </c>
      <c r="D532" s="305"/>
      <c r="E532" s="309">
        <f t="shared" si="23"/>
        <v>14.652024999999998</v>
      </c>
      <c r="F532" s="498"/>
      <c r="G532" s="304">
        <f t="shared" si="21"/>
        <v>85</v>
      </c>
      <c r="H532" s="308"/>
      <c r="I532" s="309">
        <f t="shared" si="22"/>
        <v>37.346124999999994</v>
      </c>
    </row>
    <row r="533" spans="1:9" x14ac:dyDescent="0.2">
      <c r="A533" s="304">
        <v>34</v>
      </c>
      <c r="B533" s="553">
        <v>34</v>
      </c>
      <c r="C533" s="553">
        <v>1</v>
      </c>
      <c r="D533" s="305"/>
      <c r="E533" s="309">
        <f t="shared" si="23"/>
        <v>15.088449999999998</v>
      </c>
      <c r="F533" s="498"/>
      <c r="G533" s="304">
        <f t="shared" si="21"/>
        <v>86</v>
      </c>
      <c r="H533" s="308"/>
      <c r="I533" s="309">
        <f t="shared" si="22"/>
        <v>37.782549999999993</v>
      </c>
    </row>
    <row r="534" spans="1:9" x14ac:dyDescent="0.2">
      <c r="A534" s="304">
        <v>35</v>
      </c>
      <c r="B534" s="553">
        <v>35</v>
      </c>
      <c r="C534" s="553">
        <v>1</v>
      </c>
      <c r="D534" s="305"/>
      <c r="E534" s="309">
        <f t="shared" si="23"/>
        <v>15.524874999999998</v>
      </c>
      <c r="F534" s="498"/>
      <c r="G534" s="304">
        <f t="shared" si="21"/>
        <v>87</v>
      </c>
      <c r="H534" s="308"/>
      <c r="I534" s="309">
        <f t="shared" si="22"/>
        <v>38.218974999999993</v>
      </c>
    </row>
    <row r="535" spans="1:9" x14ac:dyDescent="0.2">
      <c r="A535" s="304">
        <v>36</v>
      </c>
      <c r="B535" s="553">
        <v>36</v>
      </c>
      <c r="C535" s="553">
        <v>1</v>
      </c>
      <c r="D535" s="305"/>
      <c r="E535" s="309">
        <f t="shared" si="23"/>
        <v>15.961299999999998</v>
      </c>
      <c r="F535" s="498"/>
      <c r="G535" s="304">
        <f t="shared" si="21"/>
        <v>88</v>
      </c>
      <c r="H535" s="308"/>
      <c r="I535" s="309">
        <f t="shared" si="22"/>
        <v>38.655399999999993</v>
      </c>
    </row>
    <row r="536" spans="1:9" x14ac:dyDescent="0.2">
      <c r="A536" s="304">
        <v>37</v>
      </c>
      <c r="B536" s="553">
        <v>37</v>
      </c>
      <c r="C536" s="553">
        <v>1</v>
      </c>
      <c r="D536" s="305"/>
      <c r="E536" s="309">
        <f t="shared" si="23"/>
        <v>16.397724999999998</v>
      </c>
      <c r="F536" s="498"/>
      <c r="G536" s="304">
        <f t="shared" si="21"/>
        <v>89</v>
      </c>
      <c r="H536" s="308"/>
      <c r="I536" s="309">
        <f t="shared" si="22"/>
        <v>39.091825</v>
      </c>
    </row>
    <row r="537" spans="1:9" x14ac:dyDescent="0.2">
      <c r="A537" s="304">
        <v>38</v>
      </c>
      <c r="B537" s="553">
        <v>38</v>
      </c>
      <c r="C537" s="553">
        <v>1</v>
      </c>
      <c r="D537" s="305"/>
      <c r="E537" s="309">
        <f t="shared" si="23"/>
        <v>16.834149999999998</v>
      </c>
      <c r="F537" s="498"/>
      <c r="G537" s="304">
        <f t="shared" si="21"/>
        <v>90</v>
      </c>
      <c r="H537" s="308"/>
      <c r="I537" s="309">
        <f t="shared" si="22"/>
        <v>39.528249999999993</v>
      </c>
    </row>
    <row r="538" spans="1:9" x14ac:dyDescent="0.2">
      <c r="A538" s="304">
        <v>39</v>
      </c>
      <c r="B538" s="553">
        <v>39</v>
      </c>
      <c r="C538" s="553">
        <v>1</v>
      </c>
      <c r="D538" s="305"/>
      <c r="E538" s="309">
        <f t="shared" si="23"/>
        <v>17.270574999999997</v>
      </c>
      <c r="F538" s="498"/>
      <c r="G538" s="304">
        <f t="shared" si="21"/>
        <v>91</v>
      </c>
      <c r="H538" s="308"/>
      <c r="I538" s="309">
        <f t="shared" si="22"/>
        <v>39.964675</v>
      </c>
    </row>
    <row r="539" spans="1:9" x14ac:dyDescent="0.2">
      <c r="A539" s="304">
        <v>40</v>
      </c>
      <c r="B539" s="553">
        <v>40</v>
      </c>
      <c r="C539" s="553">
        <v>1</v>
      </c>
      <c r="D539" s="305"/>
      <c r="E539" s="309">
        <f t="shared" si="23"/>
        <v>17.706999999999997</v>
      </c>
      <c r="F539" s="498"/>
      <c r="G539" s="304">
        <f t="shared" si="21"/>
        <v>92</v>
      </c>
      <c r="H539" s="308"/>
      <c r="I539" s="309">
        <f t="shared" si="22"/>
        <v>40.401099999999992</v>
      </c>
    </row>
    <row r="540" spans="1:9" x14ac:dyDescent="0.2">
      <c r="A540" s="304">
        <v>41</v>
      </c>
      <c r="B540" s="553">
        <v>41</v>
      </c>
      <c r="C540" s="553">
        <v>1</v>
      </c>
      <c r="D540" s="305"/>
      <c r="E540" s="309">
        <f t="shared" si="23"/>
        <v>18.143424999999997</v>
      </c>
      <c r="F540" s="498"/>
      <c r="G540" s="304">
        <f t="shared" si="21"/>
        <v>93</v>
      </c>
      <c r="H540" s="308"/>
      <c r="I540" s="309">
        <f t="shared" si="22"/>
        <v>40.837524999999999</v>
      </c>
    </row>
    <row r="541" spans="1:9" x14ac:dyDescent="0.2">
      <c r="A541" s="304">
        <v>42</v>
      </c>
      <c r="B541" s="553">
        <v>42</v>
      </c>
      <c r="C541" s="553">
        <v>1</v>
      </c>
      <c r="D541" s="305"/>
      <c r="E541" s="309">
        <f t="shared" si="23"/>
        <v>18.579849999999997</v>
      </c>
      <c r="F541" s="498"/>
      <c r="G541" s="304">
        <f t="shared" si="21"/>
        <v>94</v>
      </c>
      <c r="H541" s="308"/>
      <c r="I541" s="309">
        <f t="shared" si="22"/>
        <v>41.273949999999992</v>
      </c>
    </row>
    <row r="542" spans="1:9" x14ac:dyDescent="0.2">
      <c r="A542" s="304">
        <v>43</v>
      </c>
      <c r="B542" s="553">
        <v>43</v>
      </c>
      <c r="C542" s="553">
        <v>1</v>
      </c>
      <c r="D542" s="305"/>
      <c r="E542" s="309">
        <f t="shared" si="23"/>
        <v>19.016274999999997</v>
      </c>
      <c r="F542" s="498"/>
      <c r="G542" s="304">
        <f t="shared" si="21"/>
        <v>95</v>
      </c>
      <c r="H542" s="308"/>
      <c r="I542" s="309">
        <f t="shared" si="22"/>
        <v>41.710374999999999</v>
      </c>
    </row>
    <row r="543" spans="1:9" x14ac:dyDescent="0.2">
      <c r="A543" s="304">
        <v>44</v>
      </c>
      <c r="B543" s="553">
        <v>44</v>
      </c>
      <c r="C543" s="553">
        <v>1</v>
      </c>
      <c r="D543" s="305"/>
      <c r="E543" s="309">
        <f t="shared" si="23"/>
        <v>19.452699999999997</v>
      </c>
      <c r="F543" s="498"/>
      <c r="G543" s="304">
        <f t="shared" si="21"/>
        <v>96</v>
      </c>
      <c r="H543" s="308"/>
      <c r="I543" s="309">
        <f t="shared" si="22"/>
        <v>42.146799999999999</v>
      </c>
    </row>
    <row r="544" spans="1:9" x14ac:dyDescent="0.2">
      <c r="A544" s="304">
        <v>45</v>
      </c>
      <c r="B544" s="553">
        <v>45</v>
      </c>
      <c r="C544" s="553">
        <v>1</v>
      </c>
      <c r="D544" s="305"/>
      <c r="E544" s="309">
        <f t="shared" si="23"/>
        <v>19.889124999999996</v>
      </c>
      <c r="F544" s="498"/>
      <c r="G544" s="304">
        <f t="shared" si="21"/>
        <v>97</v>
      </c>
      <c r="H544" s="308"/>
      <c r="I544" s="309">
        <f t="shared" si="22"/>
        <v>42.583224999999999</v>
      </c>
    </row>
    <row r="545" spans="1:9" x14ac:dyDescent="0.2">
      <c r="A545" s="304">
        <v>46</v>
      </c>
      <c r="B545" s="553">
        <v>46</v>
      </c>
      <c r="C545" s="553">
        <v>1</v>
      </c>
      <c r="D545" s="305"/>
      <c r="E545" s="309">
        <f t="shared" si="23"/>
        <v>20.325549999999996</v>
      </c>
      <c r="F545" s="498"/>
      <c r="G545" s="304">
        <f t="shared" si="21"/>
        <v>98</v>
      </c>
      <c r="H545" s="308"/>
      <c r="I545" s="309">
        <f t="shared" si="22"/>
        <v>43.019649999999999</v>
      </c>
    </row>
    <row r="546" spans="1:9" x14ac:dyDescent="0.2">
      <c r="A546" s="304">
        <v>47</v>
      </c>
      <c r="B546" s="553">
        <v>47</v>
      </c>
      <c r="C546" s="553">
        <v>1</v>
      </c>
      <c r="D546" s="305"/>
      <c r="E546" s="309">
        <f t="shared" si="23"/>
        <v>20.761974999999996</v>
      </c>
      <c r="F546" s="498"/>
      <c r="G546" s="304">
        <f t="shared" si="21"/>
        <v>99</v>
      </c>
      <c r="H546" s="308"/>
      <c r="I546" s="309">
        <f t="shared" si="22"/>
        <v>43.456074999999998</v>
      </c>
    </row>
    <row r="547" spans="1:9" x14ac:dyDescent="0.2">
      <c r="A547" s="304">
        <v>48</v>
      </c>
      <c r="B547" s="553">
        <v>48</v>
      </c>
      <c r="C547" s="553">
        <v>1</v>
      </c>
      <c r="D547" s="305"/>
      <c r="E547" s="309">
        <f t="shared" si="23"/>
        <v>21.198399999999999</v>
      </c>
      <c r="F547" s="498"/>
      <c r="G547" s="304">
        <f t="shared" si="21"/>
        <v>100</v>
      </c>
      <c r="H547" s="308"/>
      <c r="I547" s="309">
        <f t="shared" si="22"/>
        <v>43.892499999999998</v>
      </c>
    </row>
    <row r="548" spans="1:9" x14ac:dyDescent="0.2">
      <c r="A548" s="304">
        <v>49</v>
      </c>
      <c r="B548" s="553">
        <v>49</v>
      </c>
      <c r="C548" s="553">
        <v>1</v>
      </c>
      <c r="D548" s="305"/>
      <c r="E548" s="309">
        <f t="shared" si="23"/>
        <v>21.634824999999999</v>
      </c>
      <c r="F548" s="498"/>
      <c r="G548" s="499"/>
      <c r="H548" s="499"/>
      <c r="I548" s="499"/>
    </row>
    <row r="549" spans="1:9" x14ac:dyDescent="0.2">
      <c r="A549" s="304">
        <v>50</v>
      </c>
      <c r="B549" s="553">
        <v>50</v>
      </c>
      <c r="C549" s="553">
        <v>1</v>
      </c>
      <c r="D549" s="305"/>
      <c r="E549" s="309">
        <f t="shared" si="23"/>
        <v>22.071249999999999</v>
      </c>
      <c r="F549" s="498"/>
      <c r="G549" s="499"/>
      <c r="H549" s="499"/>
      <c r="I549" s="499"/>
    </row>
    <row r="550" spans="1:9" x14ac:dyDescent="0.2">
      <c r="A550" s="304">
        <v>51</v>
      </c>
      <c r="B550" s="553">
        <v>51</v>
      </c>
      <c r="C550" s="553">
        <v>1</v>
      </c>
      <c r="D550" s="305"/>
      <c r="E550" s="309">
        <f t="shared" si="23"/>
        <v>22.507674999999999</v>
      </c>
      <c r="F550" s="498"/>
      <c r="G550" s="499"/>
      <c r="H550" s="499"/>
      <c r="I550" s="499"/>
    </row>
    <row r="551" spans="1:9" x14ac:dyDescent="0.2">
      <c r="A551" s="304">
        <v>52</v>
      </c>
      <c r="B551" s="553">
        <v>52</v>
      </c>
      <c r="C551" s="553">
        <v>1</v>
      </c>
      <c r="D551" s="305"/>
      <c r="E551" s="309">
        <f t="shared" si="23"/>
        <v>22.944099999999999</v>
      </c>
      <c r="F551" s="498"/>
      <c r="G551" s="499"/>
      <c r="H551" s="499"/>
      <c r="I551" s="499"/>
    </row>
    <row r="552" spans="1:9" x14ac:dyDescent="0.2">
      <c r="A552" s="304">
        <v>53</v>
      </c>
      <c r="B552" s="553">
        <v>53</v>
      </c>
      <c r="C552" s="553">
        <v>1</v>
      </c>
      <c r="D552" s="305"/>
      <c r="E552" s="309">
        <f t="shared" si="23"/>
        <v>23.380524999999999</v>
      </c>
      <c r="F552" s="498"/>
      <c r="G552" s="499"/>
      <c r="H552" s="499"/>
      <c r="I552" s="499"/>
    </row>
    <row r="553" spans="1:9" x14ac:dyDescent="0.2">
      <c r="A553" s="304">
        <v>54</v>
      </c>
      <c r="B553" s="553">
        <v>54</v>
      </c>
      <c r="C553" s="553">
        <v>1</v>
      </c>
      <c r="D553" s="305"/>
      <c r="E553" s="309">
        <f t="shared" si="23"/>
        <v>23.816949999999999</v>
      </c>
      <c r="F553" s="498"/>
      <c r="G553" s="499"/>
      <c r="H553" s="499"/>
      <c r="I553" s="499"/>
    </row>
    <row r="554" spans="1:9" x14ac:dyDescent="0.2">
      <c r="A554" s="304">
        <v>55</v>
      </c>
      <c r="B554" s="553">
        <v>55</v>
      </c>
      <c r="C554" s="553">
        <v>1</v>
      </c>
      <c r="D554" s="305"/>
      <c r="E554" s="309">
        <f t="shared" si="23"/>
        <v>24.253374999999998</v>
      </c>
      <c r="F554" s="498"/>
      <c r="G554" s="499"/>
      <c r="H554" s="499"/>
      <c r="I554" s="499"/>
    </row>
    <row r="555" spans="1:9" x14ac:dyDescent="0.2">
      <c r="A555" s="304">
        <v>56</v>
      </c>
      <c r="B555" s="553">
        <v>56</v>
      </c>
      <c r="C555" s="553">
        <v>1</v>
      </c>
      <c r="D555" s="305"/>
      <c r="E555" s="309">
        <f t="shared" si="23"/>
        <v>24.689799999999998</v>
      </c>
      <c r="F555" s="498"/>
      <c r="G555" s="499"/>
      <c r="H555" s="499"/>
      <c r="I555" s="499"/>
    </row>
    <row r="556" spans="1:9" x14ac:dyDescent="0.2">
      <c r="A556" s="304">
        <v>57</v>
      </c>
      <c r="B556" s="553">
        <v>57</v>
      </c>
      <c r="C556" s="553">
        <v>1</v>
      </c>
      <c r="D556" s="305"/>
      <c r="E556" s="309">
        <f t="shared" si="23"/>
        <v>25.126224999999998</v>
      </c>
      <c r="F556" s="498"/>
      <c r="G556" s="499"/>
      <c r="H556" s="499"/>
      <c r="I556" s="499"/>
    </row>
    <row r="557" spans="1:9" x14ac:dyDescent="0.2">
      <c r="A557" s="304">
        <v>58</v>
      </c>
      <c r="B557" s="553">
        <v>58</v>
      </c>
      <c r="C557" s="553">
        <v>1</v>
      </c>
      <c r="D557" s="305"/>
      <c r="E557" s="309">
        <f t="shared" si="23"/>
        <v>25.562649999999998</v>
      </c>
      <c r="F557" s="498"/>
      <c r="G557" s="499"/>
      <c r="H557" s="499"/>
      <c r="I557" s="499"/>
    </row>
    <row r="558" spans="1:9" x14ac:dyDescent="0.2">
      <c r="A558" s="304">
        <v>59</v>
      </c>
      <c r="B558" s="553">
        <v>59</v>
      </c>
      <c r="C558" s="553">
        <v>1</v>
      </c>
      <c r="D558" s="305"/>
      <c r="E558" s="309">
        <f t="shared" si="23"/>
        <v>25.999074999999994</v>
      </c>
      <c r="F558" s="498"/>
      <c r="G558" s="499"/>
      <c r="H558" s="499"/>
      <c r="I558" s="499"/>
    </row>
    <row r="559" spans="1:9" x14ac:dyDescent="0.2">
      <c r="A559" s="304">
        <v>60</v>
      </c>
      <c r="B559" s="553">
        <v>60</v>
      </c>
      <c r="C559" s="553">
        <v>1</v>
      </c>
      <c r="D559" s="305"/>
      <c r="E559" s="309">
        <f t="shared" si="23"/>
        <v>26.435499999999998</v>
      </c>
      <c r="F559" s="498"/>
      <c r="G559" s="499"/>
      <c r="H559" s="499"/>
      <c r="I559" s="499"/>
    </row>
    <row r="560" spans="1:9" x14ac:dyDescent="0.2">
      <c r="A560" s="304">
        <v>61</v>
      </c>
      <c r="B560" s="553">
        <v>61</v>
      </c>
      <c r="C560" s="553">
        <v>1</v>
      </c>
      <c r="D560" s="305"/>
      <c r="E560" s="309">
        <f t="shared" si="23"/>
        <v>26.871924999999994</v>
      </c>
      <c r="F560" s="498"/>
      <c r="G560" s="499"/>
      <c r="H560" s="499"/>
      <c r="I560" s="499"/>
    </row>
    <row r="561" spans="1:7" x14ac:dyDescent="0.2">
      <c r="A561" s="304">
        <v>62</v>
      </c>
      <c r="B561" s="553">
        <v>62</v>
      </c>
      <c r="C561" s="553">
        <v>1</v>
      </c>
      <c r="D561" s="305"/>
      <c r="E561" s="309">
        <f t="shared" si="23"/>
        <v>27.308349999999997</v>
      </c>
      <c r="F561" s="498"/>
      <c r="G561" s="499"/>
    </row>
    <row r="562" spans="1:7" x14ac:dyDescent="0.2">
      <c r="A562" s="304">
        <v>63</v>
      </c>
      <c r="B562" s="553">
        <v>63</v>
      </c>
      <c r="C562" s="553">
        <v>1</v>
      </c>
      <c r="D562" s="305"/>
      <c r="E562" s="309">
        <f t="shared" si="23"/>
        <v>27.744774999999994</v>
      </c>
      <c r="F562" s="498"/>
      <c r="G562" s="499"/>
    </row>
    <row r="563" spans="1:7" x14ac:dyDescent="0.2">
      <c r="A563" s="304">
        <v>64</v>
      </c>
      <c r="B563" s="553">
        <v>64</v>
      </c>
      <c r="C563" s="553">
        <v>1</v>
      </c>
      <c r="D563" s="305"/>
      <c r="E563" s="309">
        <f t="shared" si="23"/>
        <v>28.181199999999997</v>
      </c>
      <c r="F563" s="498"/>
      <c r="G563" s="499"/>
    </row>
    <row r="564" spans="1:7" x14ac:dyDescent="0.2">
      <c r="A564" s="304">
        <v>65</v>
      </c>
      <c r="B564" s="553">
        <v>65</v>
      </c>
      <c r="C564" s="553">
        <v>1</v>
      </c>
      <c r="D564" s="305"/>
      <c r="E564" s="309">
        <f t="shared" si="23"/>
        <v>28.617625</v>
      </c>
      <c r="F564" s="498"/>
      <c r="G564" s="499"/>
    </row>
    <row r="565" spans="1:7" x14ac:dyDescent="0.2">
      <c r="A565" s="304">
        <v>66</v>
      </c>
      <c r="B565" s="553">
        <v>66</v>
      </c>
      <c r="C565" s="553">
        <v>1</v>
      </c>
      <c r="D565" s="305"/>
      <c r="E565" s="309">
        <f t="shared" si="23"/>
        <v>29.054049999999997</v>
      </c>
      <c r="F565" s="498"/>
      <c r="G565" s="499"/>
    </row>
    <row r="566" spans="1:7" x14ac:dyDescent="0.2">
      <c r="A566" s="304">
        <v>67</v>
      </c>
      <c r="B566" s="553">
        <v>67</v>
      </c>
      <c r="C566" s="553">
        <v>1</v>
      </c>
      <c r="D566" s="305"/>
      <c r="E566" s="309">
        <f t="shared" ref="E566:E599" si="24">(($C$497*B566)+($D$497*C566))*(1-D566)*5%</f>
        <v>29.490475</v>
      </c>
      <c r="F566" s="498"/>
      <c r="G566" s="499"/>
    </row>
    <row r="567" spans="1:7" x14ac:dyDescent="0.2">
      <c r="A567" s="304">
        <v>68</v>
      </c>
      <c r="B567" s="553">
        <v>68</v>
      </c>
      <c r="C567" s="553">
        <v>1</v>
      </c>
      <c r="D567" s="305"/>
      <c r="E567" s="309">
        <f t="shared" si="24"/>
        <v>29.926899999999996</v>
      </c>
      <c r="F567" s="498"/>
      <c r="G567" s="499"/>
    </row>
    <row r="568" spans="1:7" x14ac:dyDescent="0.2">
      <c r="A568" s="304">
        <v>69</v>
      </c>
      <c r="B568" s="553">
        <v>69</v>
      </c>
      <c r="C568" s="553">
        <v>1</v>
      </c>
      <c r="D568" s="305"/>
      <c r="E568" s="309">
        <f t="shared" si="24"/>
        <v>30.363325</v>
      </c>
      <c r="F568" s="498"/>
      <c r="G568" s="499"/>
    </row>
    <row r="569" spans="1:7" x14ac:dyDescent="0.2">
      <c r="A569" s="304">
        <v>70</v>
      </c>
      <c r="B569" s="553">
        <v>70</v>
      </c>
      <c r="C569" s="553">
        <v>1</v>
      </c>
      <c r="D569" s="305"/>
      <c r="E569" s="309">
        <f t="shared" si="24"/>
        <v>30.799749999999996</v>
      </c>
      <c r="F569" s="498"/>
      <c r="G569" s="499"/>
    </row>
    <row r="570" spans="1:7" x14ac:dyDescent="0.2">
      <c r="A570" s="304">
        <v>71</v>
      </c>
      <c r="B570" s="553">
        <v>71</v>
      </c>
      <c r="C570" s="553">
        <v>1</v>
      </c>
      <c r="D570" s="305"/>
      <c r="E570" s="309">
        <f t="shared" si="24"/>
        <v>31.236174999999999</v>
      </c>
      <c r="F570" s="498"/>
      <c r="G570" s="499"/>
    </row>
    <row r="571" spans="1:7" x14ac:dyDescent="0.2">
      <c r="A571" s="304">
        <v>72</v>
      </c>
      <c r="B571" s="553">
        <v>72</v>
      </c>
      <c r="C571" s="553">
        <v>1</v>
      </c>
      <c r="D571" s="305"/>
      <c r="E571" s="309">
        <f t="shared" si="24"/>
        <v>31.672599999999996</v>
      </c>
      <c r="F571" s="498"/>
      <c r="G571" s="499"/>
    </row>
    <row r="572" spans="1:7" x14ac:dyDescent="0.2">
      <c r="A572" s="304">
        <v>73</v>
      </c>
      <c r="B572" s="553">
        <v>73</v>
      </c>
      <c r="C572" s="553">
        <v>1</v>
      </c>
      <c r="D572" s="305"/>
      <c r="E572" s="309">
        <f t="shared" si="24"/>
        <v>32.109024999999995</v>
      </c>
      <c r="F572" s="498"/>
      <c r="G572" s="499"/>
    </row>
    <row r="573" spans="1:7" x14ac:dyDescent="0.2">
      <c r="A573" s="304">
        <v>74</v>
      </c>
      <c r="B573" s="553">
        <v>74</v>
      </c>
      <c r="C573" s="553">
        <v>1</v>
      </c>
      <c r="D573" s="305"/>
      <c r="E573" s="309">
        <f t="shared" si="24"/>
        <v>32.545449999999995</v>
      </c>
      <c r="F573" s="498"/>
      <c r="G573" s="499"/>
    </row>
    <row r="574" spans="1:7" x14ac:dyDescent="0.2">
      <c r="A574" s="304">
        <v>75</v>
      </c>
      <c r="B574" s="553">
        <v>75</v>
      </c>
      <c r="C574" s="553">
        <v>1</v>
      </c>
      <c r="D574" s="305"/>
      <c r="E574" s="309">
        <f t="shared" si="24"/>
        <v>32.981874999999995</v>
      </c>
      <c r="F574" s="498"/>
      <c r="G574" s="499"/>
    </row>
    <row r="575" spans="1:7" x14ac:dyDescent="0.2">
      <c r="A575" s="304">
        <v>76</v>
      </c>
      <c r="B575" s="553">
        <v>76</v>
      </c>
      <c r="C575" s="553">
        <v>1</v>
      </c>
      <c r="D575" s="305"/>
      <c r="E575" s="309">
        <f t="shared" si="24"/>
        <v>33.418299999999995</v>
      </c>
      <c r="F575" s="498"/>
      <c r="G575" s="499"/>
    </row>
    <row r="576" spans="1:7" x14ac:dyDescent="0.2">
      <c r="A576" s="304">
        <v>77</v>
      </c>
      <c r="B576" s="553">
        <v>77</v>
      </c>
      <c r="C576" s="553">
        <v>1</v>
      </c>
      <c r="D576" s="305"/>
      <c r="E576" s="309">
        <f t="shared" si="24"/>
        <v>33.854724999999995</v>
      </c>
      <c r="F576" s="498"/>
      <c r="G576" s="499"/>
    </row>
    <row r="577" spans="1:7" x14ac:dyDescent="0.2">
      <c r="A577" s="304">
        <v>78</v>
      </c>
      <c r="B577" s="553">
        <v>78</v>
      </c>
      <c r="C577" s="553">
        <v>1</v>
      </c>
      <c r="D577" s="305"/>
      <c r="E577" s="309">
        <f t="shared" si="24"/>
        <v>34.291149999999995</v>
      </c>
      <c r="F577" s="498"/>
      <c r="G577" s="499"/>
    </row>
    <row r="578" spans="1:7" x14ac:dyDescent="0.2">
      <c r="A578" s="304">
        <v>79</v>
      </c>
      <c r="B578" s="553">
        <v>79</v>
      </c>
      <c r="C578" s="553">
        <v>1</v>
      </c>
      <c r="D578" s="305"/>
      <c r="E578" s="309">
        <f t="shared" si="24"/>
        <v>34.727574999999995</v>
      </c>
      <c r="F578" s="498"/>
      <c r="G578" s="499"/>
    </row>
    <row r="579" spans="1:7" x14ac:dyDescent="0.2">
      <c r="A579" s="304">
        <v>80</v>
      </c>
      <c r="B579" s="553">
        <v>80</v>
      </c>
      <c r="C579" s="553">
        <v>1</v>
      </c>
      <c r="D579" s="305"/>
      <c r="E579" s="309">
        <f t="shared" si="24"/>
        <v>35.163999999999994</v>
      </c>
      <c r="F579" s="498"/>
      <c r="G579" s="499"/>
    </row>
    <row r="580" spans="1:7" x14ac:dyDescent="0.2">
      <c r="A580" s="304">
        <v>81</v>
      </c>
      <c r="B580" s="553">
        <v>81</v>
      </c>
      <c r="C580" s="553">
        <v>1</v>
      </c>
      <c r="D580" s="305"/>
      <c r="E580" s="309">
        <f t="shared" si="24"/>
        <v>35.600424999999994</v>
      </c>
      <c r="F580" s="498"/>
      <c r="G580" s="499"/>
    </row>
    <row r="581" spans="1:7" x14ac:dyDescent="0.2">
      <c r="A581" s="304">
        <v>82</v>
      </c>
      <c r="B581" s="553">
        <v>82</v>
      </c>
      <c r="C581" s="553">
        <v>1</v>
      </c>
      <c r="D581" s="305"/>
      <c r="E581" s="309">
        <f t="shared" si="24"/>
        <v>36.036849999999994</v>
      </c>
      <c r="F581" s="498"/>
      <c r="G581" s="499"/>
    </row>
    <row r="582" spans="1:7" x14ac:dyDescent="0.2">
      <c r="A582" s="304">
        <v>83</v>
      </c>
      <c r="B582" s="553">
        <v>83</v>
      </c>
      <c r="C582" s="553">
        <v>1</v>
      </c>
      <c r="D582" s="305"/>
      <c r="E582" s="309">
        <f t="shared" si="24"/>
        <v>36.473274999999994</v>
      </c>
      <c r="F582" s="498"/>
      <c r="G582" s="499"/>
    </row>
    <row r="583" spans="1:7" x14ac:dyDescent="0.2">
      <c r="A583" s="304">
        <v>84</v>
      </c>
      <c r="B583" s="553">
        <v>84</v>
      </c>
      <c r="C583" s="553">
        <v>1</v>
      </c>
      <c r="D583" s="305"/>
      <c r="E583" s="309">
        <f t="shared" si="24"/>
        <v>36.909699999999994</v>
      </c>
      <c r="F583" s="498"/>
      <c r="G583" s="499"/>
    </row>
    <row r="584" spans="1:7" x14ac:dyDescent="0.2">
      <c r="A584" s="304">
        <v>85</v>
      </c>
      <c r="B584" s="553">
        <v>85</v>
      </c>
      <c r="C584" s="553">
        <v>1</v>
      </c>
      <c r="D584" s="305"/>
      <c r="E584" s="309">
        <f t="shared" si="24"/>
        <v>37.346124999999994</v>
      </c>
      <c r="F584" s="498"/>
      <c r="G584" s="499"/>
    </row>
    <row r="585" spans="1:7" x14ac:dyDescent="0.2">
      <c r="A585" s="304">
        <v>86</v>
      </c>
      <c r="B585" s="553">
        <v>86</v>
      </c>
      <c r="C585" s="553">
        <v>1</v>
      </c>
      <c r="D585" s="305"/>
      <c r="E585" s="309">
        <f t="shared" si="24"/>
        <v>37.782549999999993</v>
      </c>
      <c r="F585" s="498"/>
      <c r="G585" s="499"/>
    </row>
    <row r="586" spans="1:7" x14ac:dyDescent="0.2">
      <c r="A586" s="304">
        <v>87</v>
      </c>
      <c r="B586" s="553">
        <v>87</v>
      </c>
      <c r="C586" s="553">
        <v>1</v>
      </c>
      <c r="D586" s="305"/>
      <c r="E586" s="309">
        <f t="shared" si="24"/>
        <v>38.218974999999993</v>
      </c>
      <c r="F586" s="498"/>
      <c r="G586" s="499"/>
    </row>
    <row r="587" spans="1:7" x14ac:dyDescent="0.2">
      <c r="A587" s="304">
        <v>88</v>
      </c>
      <c r="B587" s="553">
        <v>88</v>
      </c>
      <c r="C587" s="553">
        <v>1</v>
      </c>
      <c r="D587" s="305"/>
      <c r="E587" s="309">
        <f t="shared" si="24"/>
        <v>38.655399999999993</v>
      </c>
      <c r="F587" s="502" t="s">
        <v>5</v>
      </c>
      <c r="G587" s="499"/>
    </row>
    <row r="588" spans="1:7" x14ac:dyDescent="0.2">
      <c r="A588" s="304">
        <v>89</v>
      </c>
      <c r="B588" s="553">
        <v>89</v>
      </c>
      <c r="C588" s="553">
        <v>1</v>
      </c>
      <c r="D588" s="305"/>
      <c r="E588" s="309">
        <f t="shared" si="24"/>
        <v>39.091825</v>
      </c>
      <c r="F588" s="502"/>
      <c r="G588" s="499"/>
    </row>
    <row r="589" spans="1:7" x14ac:dyDescent="0.2">
      <c r="A589" s="304">
        <v>90</v>
      </c>
      <c r="B589" s="553">
        <v>90</v>
      </c>
      <c r="C589" s="553">
        <v>1</v>
      </c>
      <c r="D589" s="305"/>
      <c r="E589" s="309">
        <f t="shared" si="24"/>
        <v>39.528249999999993</v>
      </c>
      <c r="F589" s="502"/>
      <c r="G589" s="499"/>
    </row>
    <row r="590" spans="1:7" x14ac:dyDescent="0.2">
      <c r="A590" s="304">
        <v>91</v>
      </c>
      <c r="B590" s="553">
        <v>91</v>
      </c>
      <c r="C590" s="553">
        <v>1</v>
      </c>
      <c r="D590" s="305"/>
      <c r="E590" s="309">
        <f t="shared" si="24"/>
        <v>39.964675</v>
      </c>
      <c r="F590" s="502" t="s">
        <v>14</v>
      </c>
      <c r="G590" s="499"/>
    </row>
    <row r="591" spans="1:7" x14ac:dyDescent="0.2">
      <c r="A591" s="304">
        <v>92</v>
      </c>
      <c r="B591" s="553">
        <v>92</v>
      </c>
      <c r="C591" s="553">
        <v>1</v>
      </c>
      <c r="D591" s="305"/>
      <c r="E591" s="309">
        <f t="shared" si="24"/>
        <v>40.401099999999992</v>
      </c>
      <c r="F591" s="502" t="s">
        <v>217</v>
      </c>
      <c r="G591" s="499"/>
    </row>
    <row r="592" spans="1:7" x14ac:dyDescent="0.2">
      <c r="A592" s="304">
        <v>93</v>
      </c>
      <c r="B592" s="553">
        <v>93</v>
      </c>
      <c r="C592" s="553">
        <v>1</v>
      </c>
      <c r="D592" s="305"/>
      <c r="E592" s="309">
        <f t="shared" si="24"/>
        <v>40.837524999999999</v>
      </c>
      <c r="F592" s="502"/>
      <c r="G592" s="499"/>
    </row>
    <row r="593" spans="1:7" x14ac:dyDescent="0.2">
      <c r="A593" s="304">
        <v>94</v>
      </c>
      <c r="B593" s="553">
        <v>94</v>
      </c>
      <c r="C593" s="553">
        <v>1</v>
      </c>
      <c r="D593" s="305"/>
      <c r="E593" s="309">
        <f t="shared" si="24"/>
        <v>41.273949999999992</v>
      </c>
      <c r="F593" s="502"/>
      <c r="G593" s="499"/>
    </row>
    <row r="594" spans="1:7" x14ac:dyDescent="0.2">
      <c r="A594" s="304">
        <v>95</v>
      </c>
      <c r="B594" s="553">
        <v>95</v>
      </c>
      <c r="C594" s="553">
        <v>1</v>
      </c>
      <c r="D594" s="305"/>
      <c r="E594" s="309">
        <f t="shared" si="24"/>
        <v>41.710374999999999</v>
      </c>
      <c r="F594" s="502" t="s">
        <v>11</v>
      </c>
      <c r="G594" s="499"/>
    </row>
    <row r="595" spans="1:7" x14ac:dyDescent="0.2">
      <c r="A595" s="304">
        <v>96</v>
      </c>
      <c r="B595" s="553">
        <v>96</v>
      </c>
      <c r="C595" s="553">
        <v>1</v>
      </c>
      <c r="D595" s="305"/>
      <c r="E595" s="309">
        <f t="shared" si="24"/>
        <v>42.146799999999999</v>
      </c>
      <c r="F595" s="502"/>
      <c r="G595" s="499"/>
    </row>
    <row r="596" spans="1:7" x14ac:dyDescent="0.2">
      <c r="A596" s="304">
        <v>97</v>
      </c>
      <c r="B596" s="553">
        <v>97</v>
      </c>
      <c r="C596" s="553">
        <v>1</v>
      </c>
      <c r="D596" s="305"/>
      <c r="E596" s="309">
        <f t="shared" si="24"/>
        <v>42.583224999999999</v>
      </c>
      <c r="F596" s="502"/>
      <c r="G596" s="499"/>
    </row>
    <row r="597" spans="1:7" x14ac:dyDescent="0.2">
      <c r="A597" s="304">
        <v>98</v>
      </c>
      <c r="B597" s="553">
        <v>98</v>
      </c>
      <c r="C597" s="553">
        <v>1</v>
      </c>
      <c r="D597" s="305"/>
      <c r="E597" s="309">
        <f t="shared" si="24"/>
        <v>43.019649999999999</v>
      </c>
      <c r="F597" s="502" t="s">
        <v>219</v>
      </c>
      <c r="G597" s="499"/>
    </row>
    <row r="598" spans="1:7" x14ac:dyDescent="0.2">
      <c r="A598" s="304">
        <v>99</v>
      </c>
      <c r="B598" s="553">
        <v>99</v>
      </c>
      <c r="C598" s="553">
        <v>1</v>
      </c>
      <c r="D598" s="305"/>
      <c r="E598" s="309">
        <f t="shared" si="24"/>
        <v>43.456074999999998</v>
      </c>
      <c r="F598" s="502" t="s">
        <v>220</v>
      </c>
      <c r="G598" s="499"/>
    </row>
    <row r="599" spans="1:7" x14ac:dyDescent="0.2">
      <c r="A599" s="304">
        <v>100</v>
      </c>
      <c r="B599" s="553">
        <v>100</v>
      </c>
      <c r="C599" s="553">
        <v>1</v>
      </c>
      <c r="D599" s="305"/>
      <c r="E599" s="309">
        <f t="shared" si="24"/>
        <v>43.892499999999998</v>
      </c>
      <c r="F599" s="503"/>
      <c r="G599" s="499"/>
    </row>
    <row r="600" spans="1:7" x14ac:dyDescent="0.2">
      <c r="A600" s="424"/>
      <c r="B600" s="554"/>
      <c r="C600" s="555"/>
      <c r="D600" s="311"/>
      <c r="E600" s="312"/>
    </row>
    <row r="603" spans="1:7" x14ac:dyDescent="0.2">
      <c r="A603" s="58"/>
    </row>
    <row r="604" spans="1:7" ht="15" x14ac:dyDescent="0.35">
      <c r="A604" s="659" t="s">
        <v>263</v>
      </c>
    </row>
    <row r="605" spans="1:7" x14ac:dyDescent="0.2">
      <c r="A605" s="295" t="s">
        <v>265</v>
      </c>
      <c r="B605" s="563"/>
      <c r="C605" s="563"/>
      <c r="D605" s="563"/>
      <c r="E605" s="76"/>
    </row>
    <row r="606" spans="1:7" x14ac:dyDescent="0.2">
      <c r="A606" s="295" t="s">
        <v>202</v>
      </c>
      <c r="B606" s="563"/>
      <c r="C606" s="563"/>
      <c r="D606" s="563"/>
      <c r="E606" s="564"/>
    </row>
    <row r="607" spans="1:7" x14ac:dyDescent="0.2">
      <c r="A607" s="1124" t="s">
        <v>3</v>
      </c>
      <c r="B607" s="1125"/>
      <c r="C607" s="1128" t="s">
        <v>134</v>
      </c>
      <c r="D607" s="1123"/>
      <c r="E607" s="564"/>
    </row>
    <row r="608" spans="1:7" x14ac:dyDescent="0.2">
      <c r="A608" s="1126"/>
      <c r="B608" s="1127"/>
      <c r="C608" s="565" t="s">
        <v>135</v>
      </c>
      <c r="D608" s="565" t="s">
        <v>136</v>
      </c>
      <c r="E608" s="564"/>
    </row>
    <row r="609" spans="1:9" x14ac:dyDescent="0.2">
      <c r="A609" s="644" t="s">
        <v>137</v>
      </c>
      <c r="B609" s="645"/>
      <c r="C609" s="646">
        <v>3.4996</v>
      </c>
      <c r="D609" s="647"/>
      <c r="E609" s="76"/>
    </row>
    <row r="610" spans="1:9" x14ac:dyDescent="0.2">
      <c r="A610" s="648" t="s">
        <v>138</v>
      </c>
      <c r="B610" s="296"/>
      <c r="C610" s="649">
        <v>1.7759</v>
      </c>
      <c r="D610" s="650"/>
      <c r="E610" s="76"/>
    </row>
    <row r="611" spans="1:9" x14ac:dyDescent="0.2">
      <c r="A611" s="648" t="s">
        <v>139</v>
      </c>
      <c r="B611" s="296"/>
      <c r="C611" s="651">
        <v>0.58150000000000002</v>
      </c>
      <c r="D611" s="650"/>
      <c r="E611" s="76"/>
    </row>
    <row r="612" spans="1:9" x14ac:dyDescent="0.2">
      <c r="A612" s="648" t="s">
        <v>140</v>
      </c>
      <c r="B612" s="296"/>
      <c r="C612" s="652">
        <v>0.84489999999999998</v>
      </c>
      <c r="D612" s="650"/>
      <c r="E612" s="76"/>
    </row>
    <row r="613" spans="1:9" x14ac:dyDescent="0.2">
      <c r="A613" s="648" t="s">
        <v>141</v>
      </c>
      <c r="B613" s="296"/>
      <c r="C613" s="652">
        <v>0.7732</v>
      </c>
      <c r="D613" s="650"/>
      <c r="E613" s="76"/>
    </row>
    <row r="614" spans="1:9" x14ac:dyDescent="0.2">
      <c r="A614" s="648" t="s">
        <v>142</v>
      </c>
      <c r="B614" s="296"/>
      <c r="C614" s="653">
        <v>0.45689999999999997</v>
      </c>
      <c r="D614" s="654">
        <v>5</v>
      </c>
      <c r="E614" s="76"/>
    </row>
    <row r="615" spans="1:9" x14ac:dyDescent="0.2">
      <c r="A615" s="655" t="s">
        <v>2</v>
      </c>
      <c r="B615" s="656"/>
      <c r="C615" s="657">
        <f>SUM(C609:C614)</f>
        <v>7.9320000000000004</v>
      </c>
      <c r="D615" s="658">
        <f>SUM(D609:D614)</f>
        <v>5</v>
      </c>
      <c r="E615" s="77"/>
      <c r="F615" s="78"/>
      <c r="G615" s="78"/>
    </row>
    <row r="616" spans="1:9" x14ac:dyDescent="0.2">
      <c r="A616" s="296"/>
      <c r="B616" s="296"/>
      <c r="C616" s="296"/>
      <c r="D616" s="296"/>
    </row>
    <row r="617" spans="1:9" ht="45" x14ac:dyDescent="0.2">
      <c r="A617" s="556" t="s">
        <v>239</v>
      </c>
      <c r="B617" s="557" t="s">
        <v>68</v>
      </c>
      <c r="C617" s="558" t="s">
        <v>204</v>
      </c>
      <c r="D617" s="556" t="s">
        <v>205</v>
      </c>
      <c r="E617" s="559" t="s">
        <v>206</v>
      </c>
      <c r="F617" s="76"/>
      <c r="G617" s="556" t="s">
        <v>239</v>
      </c>
      <c r="H617" s="560" t="str">
        <f>D617</f>
        <v>Lifeline Discount Rate</v>
      </c>
      <c r="I617" s="561" t="str">
        <f>E617</f>
        <v>SENIOR CITIZEN DISCOUNT (Php)</v>
      </c>
    </row>
    <row r="618" spans="1:9" x14ac:dyDescent="0.2">
      <c r="A618" s="304">
        <v>1</v>
      </c>
      <c r="B618" s="553">
        <v>1</v>
      </c>
      <c r="C618" s="553">
        <v>1</v>
      </c>
      <c r="D618" s="308">
        <v>0.25</v>
      </c>
      <c r="E618" s="309">
        <f>(($C$615*B618)+($D$615*C618))*(1-D618)*5%</f>
        <v>0.48494999999999999</v>
      </c>
      <c r="F618" s="498"/>
      <c r="G618" s="553">
        <f>A670</f>
        <v>53</v>
      </c>
      <c r="H618" s="660"/>
      <c r="I618" s="661">
        <f>E670</f>
        <v>21.269800000000004</v>
      </c>
    </row>
    <row r="619" spans="1:9" x14ac:dyDescent="0.2">
      <c r="A619" s="304">
        <v>2</v>
      </c>
      <c r="B619" s="553">
        <v>2</v>
      </c>
      <c r="C619" s="553">
        <v>1</v>
      </c>
      <c r="D619" s="308">
        <v>0.25</v>
      </c>
      <c r="E619" s="309">
        <f>(($C$615*B619)+($D$615*C619))*(1-D619)*5%</f>
        <v>0.78239999999999998</v>
      </c>
      <c r="F619" s="498"/>
      <c r="G619" s="304">
        <f t="shared" ref="G619:G665" si="25">A671</f>
        <v>54</v>
      </c>
      <c r="H619" s="308"/>
      <c r="I619" s="309">
        <f t="shared" ref="I619:I665" si="26">E671</f>
        <v>21.666400000000003</v>
      </c>
    </row>
    <row r="620" spans="1:9" x14ac:dyDescent="0.2">
      <c r="A620" s="304">
        <v>3</v>
      </c>
      <c r="B620" s="553">
        <v>3</v>
      </c>
      <c r="C620" s="553">
        <v>1</v>
      </c>
      <c r="D620" s="308">
        <v>0.25</v>
      </c>
      <c r="E620" s="309">
        <f t="shared" ref="E620:E683" si="27">(($C$615*B620)+($D$615*C620))*(1-D620)*5%</f>
        <v>1.0798500000000002</v>
      </c>
      <c r="F620" s="498"/>
      <c r="G620" s="304">
        <f t="shared" si="25"/>
        <v>55</v>
      </c>
      <c r="H620" s="308"/>
      <c r="I620" s="309">
        <f t="shared" si="26"/>
        <v>22.063000000000002</v>
      </c>
    </row>
    <row r="621" spans="1:9" x14ac:dyDescent="0.2">
      <c r="A621" s="304">
        <v>4</v>
      </c>
      <c r="B621" s="553">
        <v>4</v>
      </c>
      <c r="C621" s="553">
        <v>1</v>
      </c>
      <c r="D621" s="308">
        <v>0.25</v>
      </c>
      <c r="E621" s="309">
        <f t="shared" si="27"/>
        <v>1.3773</v>
      </c>
      <c r="F621" s="498"/>
      <c r="G621" s="304">
        <f t="shared" si="25"/>
        <v>56</v>
      </c>
      <c r="H621" s="308"/>
      <c r="I621" s="309">
        <f t="shared" si="26"/>
        <v>22.459600000000002</v>
      </c>
    </row>
    <row r="622" spans="1:9" x14ac:dyDescent="0.2">
      <c r="A622" s="304">
        <v>5</v>
      </c>
      <c r="B622" s="553">
        <v>5</v>
      </c>
      <c r="C622" s="553">
        <v>1</v>
      </c>
      <c r="D622" s="308">
        <v>0.25</v>
      </c>
      <c r="E622" s="309">
        <f t="shared" si="27"/>
        <v>1.6747500000000004</v>
      </c>
      <c r="F622" s="498"/>
      <c r="G622" s="304">
        <f t="shared" si="25"/>
        <v>57</v>
      </c>
      <c r="H622" s="308"/>
      <c r="I622" s="309">
        <f t="shared" si="26"/>
        <v>22.856200000000001</v>
      </c>
    </row>
    <row r="623" spans="1:9" x14ac:dyDescent="0.2">
      <c r="A623" s="304">
        <v>6</v>
      </c>
      <c r="B623" s="553">
        <v>6</v>
      </c>
      <c r="C623" s="553">
        <v>1</v>
      </c>
      <c r="D623" s="308">
        <v>0.25</v>
      </c>
      <c r="E623" s="309">
        <f t="shared" si="27"/>
        <v>1.9722000000000002</v>
      </c>
      <c r="F623" s="498"/>
      <c r="G623" s="304">
        <f t="shared" si="25"/>
        <v>58</v>
      </c>
      <c r="H623" s="308"/>
      <c r="I623" s="309">
        <f t="shared" si="26"/>
        <v>23.252800000000004</v>
      </c>
    </row>
    <row r="624" spans="1:9" x14ac:dyDescent="0.2">
      <c r="A624" s="304">
        <v>7</v>
      </c>
      <c r="B624" s="553">
        <v>7</v>
      </c>
      <c r="C624" s="553">
        <v>1</v>
      </c>
      <c r="D624" s="308">
        <v>0.25</v>
      </c>
      <c r="E624" s="309">
        <f t="shared" si="27"/>
        <v>2.2696499999999999</v>
      </c>
      <c r="F624" s="498"/>
      <c r="G624" s="304">
        <f t="shared" si="25"/>
        <v>59</v>
      </c>
      <c r="H624" s="308"/>
      <c r="I624" s="309">
        <f t="shared" si="26"/>
        <v>23.6494</v>
      </c>
    </row>
    <row r="625" spans="1:9" x14ac:dyDescent="0.2">
      <c r="A625" s="304">
        <v>8</v>
      </c>
      <c r="B625" s="553">
        <v>8</v>
      </c>
      <c r="C625" s="553">
        <v>1</v>
      </c>
      <c r="D625" s="308">
        <v>0.25</v>
      </c>
      <c r="E625" s="309">
        <f t="shared" si="27"/>
        <v>2.5670999999999999</v>
      </c>
      <c r="F625" s="498"/>
      <c r="G625" s="304">
        <f t="shared" si="25"/>
        <v>60</v>
      </c>
      <c r="H625" s="308"/>
      <c r="I625" s="309">
        <f t="shared" si="26"/>
        <v>24.046000000000003</v>
      </c>
    </row>
    <row r="626" spans="1:9" x14ac:dyDescent="0.2">
      <c r="A626" s="304">
        <v>9</v>
      </c>
      <c r="B626" s="553">
        <v>9</v>
      </c>
      <c r="C626" s="553">
        <v>1</v>
      </c>
      <c r="D626" s="308">
        <v>0.25</v>
      </c>
      <c r="E626" s="309">
        <f t="shared" si="27"/>
        <v>2.8645500000000004</v>
      </c>
      <c r="F626" s="498"/>
      <c r="G626" s="304">
        <f t="shared" si="25"/>
        <v>61</v>
      </c>
      <c r="H626" s="308"/>
      <c r="I626" s="309">
        <f t="shared" si="26"/>
        <v>24.442600000000002</v>
      </c>
    </row>
    <row r="627" spans="1:9" x14ac:dyDescent="0.2">
      <c r="A627" s="304">
        <v>10</v>
      </c>
      <c r="B627" s="553">
        <v>10</v>
      </c>
      <c r="C627" s="553">
        <v>1</v>
      </c>
      <c r="D627" s="308">
        <v>0.25</v>
      </c>
      <c r="E627" s="309">
        <f t="shared" si="27"/>
        <v>3.1620000000000008</v>
      </c>
      <c r="F627" s="498"/>
      <c r="G627" s="304">
        <f t="shared" si="25"/>
        <v>62</v>
      </c>
      <c r="H627" s="308"/>
      <c r="I627" s="309">
        <f t="shared" si="26"/>
        <v>24.839200000000005</v>
      </c>
    </row>
    <row r="628" spans="1:9" x14ac:dyDescent="0.2">
      <c r="A628" s="304">
        <v>11</v>
      </c>
      <c r="B628" s="553">
        <v>11</v>
      </c>
      <c r="C628" s="553">
        <v>1</v>
      </c>
      <c r="D628" s="308">
        <v>0.25</v>
      </c>
      <c r="E628" s="309">
        <f t="shared" si="27"/>
        <v>3.4594500000000004</v>
      </c>
      <c r="F628" s="498"/>
      <c r="G628" s="304">
        <f t="shared" si="25"/>
        <v>63</v>
      </c>
      <c r="H628" s="308"/>
      <c r="I628" s="309">
        <f t="shared" si="26"/>
        <v>25.235800000000001</v>
      </c>
    </row>
    <row r="629" spans="1:9" x14ac:dyDescent="0.2">
      <c r="A629" s="304">
        <v>12</v>
      </c>
      <c r="B629" s="553">
        <v>12</v>
      </c>
      <c r="C629" s="553">
        <v>1</v>
      </c>
      <c r="D629" s="308">
        <v>0.25</v>
      </c>
      <c r="E629" s="309">
        <f t="shared" si="27"/>
        <v>3.7569000000000004</v>
      </c>
      <c r="F629" s="498"/>
      <c r="G629" s="304">
        <f t="shared" si="25"/>
        <v>64</v>
      </c>
      <c r="H629" s="308"/>
      <c r="I629" s="309">
        <f t="shared" si="26"/>
        <v>25.632400000000004</v>
      </c>
    </row>
    <row r="630" spans="1:9" x14ac:dyDescent="0.2">
      <c r="A630" s="304">
        <v>13</v>
      </c>
      <c r="B630" s="553">
        <v>13</v>
      </c>
      <c r="C630" s="553">
        <v>1</v>
      </c>
      <c r="D630" s="308">
        <v>0.25</v>
      </c>
      <c r="E630" s="309">
        <f t="shared" si="27"/>
        <v>4.0543500000000003</v>
      </c>
      <c r="F630" s="498"/>
      <c r="G630" s="304">
        <f t="shared" si="25"/>
        <v>65</v>
      </c>
      <c r="H630" s="308"/>
      <c r="I630" s="309">
        <f t="shared" si="26"/>
        <v>26.029000000000003</v>
      </c>
    </row>
    <row r="631" spans="1:9" x14ac:dyDescent="0.2">
      <c r="A631" s="304">
        <v>14</v>
      </c>
      <c r="B631" s="553">
        <v>14</v>
      </c>
      <c r="C631" s="553">
        <v>1</v>
      </c>
      <c r="D631" s="308">
        <v>0.25</v>
      </c>
      <c r="E631" s="309">
        <f t="shared" si="27"/>
        <v>4.3517999999999999</v>
      </c>
      <c r="F631" s="498"/>
      <c r="G631" s="304">
        <f t="shared" si="25"/>
        <v>66</v>
      </c>
      <c r="H631" s="308"/>
      <c r="I631" s="309">
        <f t="shared" si="26"/>
        <v>26.425600000000003</v>
      </c>
    </row>
    <row r="632" spans="1:9" x14ac:dyDescent="0.2">
      <c r="A632" s="304">
        <v>15</v>
      </c>
      <c r="B632" s="553">
        <v>15</v>
      </c>
      <c r="C632" s="553">
        <v>1</v>
      </c>
      <c r="D632" s="308">
        <v>0.25</v>
      </c>
      <c r="E632" s="309">
        <f t="shared" si="27"/>
        <v>4.6492500000000003</v>
      </c>
      <c r="F632" s="498"/>
      <c r="G632" s="304">
        <f t="shared" si="25"/>
        <v>67</v>
      </c>
      <c r="H632" s="308"/>
      <c r="I632" s="309">
        <f t="shared" si="26"/>
        <v>26.822200000000006</v>
      </c>
    </row>
    <row r="633" spans="1:9" x14ac:dyDescent="0.2">
      <c r="A633" s="304">
        <v>16</v>
      </c>
      <c r="B633" s="553">
        <v>16</v>
      </c>
      <c r="C633" s="553">
        <v>1</v>
      </c>
      <c r="D633" s="308">
        <v>0.15</v>
      </c>
      <c r="E633" s="309">
        <f t="shared" si="27"/>
        <v>5.6062600000000007</v>
      </c>
      <c r="F633" s="498"/>
      <c r="G633" s="304">
        <f t="shared" si="25"/>
        <v>68</v>
      </c>
      <c r="H633" s="308"/>
      <c r="I633" s="309">
        <f t="shared" si="26"/>
        <v>27.218800000000002</v>
      </c>
    </row>
    <row r="634" spans="1:9" x14ac:dyDescent="0.2">
      <c r="A634" s="304">
        <v>17</v>
      </c>
      <c r="B634" s="553">
        <v>17</v>
      </c>
      <c r="C634" s="553">
        <v>1</v>
      </c>
      <c r="D634" s="308">
        <v>0.1</v>
      </c>
      <c r="E634" s="309">
        <f t="shared" si="27"/>
        <v>6.29298</v>
      </c>
      <c r="F634" s="498"/>
      <c r="G634" s="304">
        <f t="shared" si="25"/>
        <v>69</v>
      </c>
      <c r="H634" s="308"/>
      <c r="I634" s="309">
        <f t="shared" si="26"/>
        <v>27.615400000000001</v>
      </c>
    </row>
    <row r="635" spans="1:9" x14ac:dyDescent="0.2">
      <c r="A635" s="304">
        <v>18</v>
      </c>
      <c r="B635" s="553">
        <v>18</v>
      </c>
      <c r="C635" s="553">
        <v>1</v>
      </c>
      <c r="D635" s="308">
        <v>0.1</v>
      </c>
      <c r="E635" s="309">
        <f t="shared" si="27"/>
        <v>6.6499200000000007</v>
      </c>
      <c r="F635" s="498"/>
      <c r="G635" s="304">
        <f t="shared" si="25"/>
        <v>70</v>
      </c>
      <c r="H635" s="308"/>
      <c r="I635" s="309">
        <f t="shared" si="26"/>
        <v>28.012</v>
      </c>
    </row>
    <row r="636" spans="1:9" x14ac:dyDescent="0.2">
      <c r="A636" s="304">
        <v>19</v>
      </c>
      <c r="B636" s="553">
        <v>19</v>
      </c>
      <c r="C636" s="553">
        <v>1</v>
      </c>
      <c r="D636" s="308">
        <v>0.05</v>
      </c>
      <c r="E636" s="309">
        <f t="shared" si="27"/>
        <v>7.3961299999999994</v>
      </c>
      <c r="F636" s="498"/>
      <c r="G636" s="304">
        <f t="shared" si="25"/>
        <v>71</v>
      </c>
      <c r="H636" s="308"/>
      <c r="I636" s="309">
        <f t="shared" si="26"/>
        <v>28.408600000000003</v>
      </c>
    </row>
    <row r="637" spans="1:9" x14ac:dyDescent="0.2">
      <c r="A637" s="304">
        <v>20</v>
      </c>
      <c r="B637" s="553">
        <v>20</v>
      </c>
      <c r="C637" s="553">
        <v>1</v>
      </c>
      <c r="D637" s="308">
        <v>0.05</v>
      </c>
      <c r="E637" s="309">
        <f t="shared" si="27"/>
        <v>7.7728999999999999</v>
      </c>
      <c r="F637" s="498"/>
      <c r="G637" s="304">
        <f t="shared" si="25"/>
        <v>72</v>
      </c>
      <c r="H637" s="308"/>
      <c r="I637" s="309">
        <f t="shared" si="26"/>
        <v>28.805200000000003</v>
      </c>
    </row>
    <row r="638" spans="1:9" x14ac:dyDescent="0.2">
      <c r="A638" s="304">
        <v>21</v>
      </c>
      <c r="B638" s="553">
        <v>21</v>
      </c>
      <c r="C638" s="553">
        <v>1</v>
      </c>
      <c r="D638" s="310"/>
      <c r="E638" s="309">
        <f t="shared" si="27"/>
        <v>8.5785999999999998</v>
      </c>
      <c r="F638" s="498"/>
      <c r="G638" s="304">
        <f t="shared" si="25"/>
        <v>73</v>
      </c>
      <c r="H638" s="308"/>
      <c r="I638" s="309">
        <f t="shared" si="26"/>
        <v>29.201800000000006</v>
      </c>
    </row>
    <row r="639" spans="1:9" x14ac:dyDescent="0.2">
      <c r="A639" s="304">
        <v>22</v>
      </c>
      <c r="B639" s="553">
        <v>22</v>
      </c>
      <c r="C639" s="553">
        <v>1</v>
      </c>
      <c r="D639" s="305"/>
      <c r="E639" s="309">
        <f t="shared" si="27"/>
        <v>8.975200000000001</v>
      </c>
      <c r="F639" s="498"/>
      <c r="G639" s="304">
        <f t="shared" si="25"/>
        <v>74</v>
      </c>
      <c r="H639" s="308"/>
      <c r="I639" s="309">
        <f t="shared" si="26"/>
        <v>29.598400000000005</v>
      </c>
    </row>
    <row r="640" spans="1:9" x14ac:dyDescent="0.2">
      <c r="A640" s="304">
        <v>23</v>
      </c>
      <c r="B640" s="553">
        <v>23</v>
      </c>
      <c r="C640" s="553">
        <v>1</v>
      </c>
      <c r="D640" s="305"/>
      <c r="E640" s="309">
        <f t="shared" si="27"/>
        <v>9.3718000000000004</v>
      </c>
      <c r="F640" s="498"/>
      <c r="G640" s="304">
        <f t="shared" si="25"/>
        <v>75</v>
      </c>
      <c r="H640" s="308"/>
      <c r="I640" s="309">
        <f t="shared" si="26"/>
        <v>29.995000000000001</v>
      </c>
    </row>
    <row r="641" spans="1:9" x14ac:dyDescent="0.2">
      <c r="A641" s="304">
        <v>24</v>
      </c>
      <c r="B641" s="553">
        <v>24</v>
      </c>
      <c r="C641" s="553">
        <v>1</v>
      </c>
      <c r="D641" s="305"/>
      <c r="E641" s="309">
        <f t="shared" si="27"/>
        <v>9.7683999999999997</v>
      </c>
      <c r="F641" s="498"/>
      <c r="G641" s="304">
        <f t="shared" si="25"/>
        <v>76</v>
      </c>
      <c r="H641" s="308"/>
      <c r="I641" s="309">
        <f t="shared" si="26"/>
        <v>30.3916</v>
      </c>
    </row>
    <row r="642" spans="1:9" x14ac:dyDescent="0.2">
      <c r="A642" s="304">
        <v>25</v>
      </c>
      <c r="B642" s="553">
        <v>25</v>
      </c>
      <c r="C642" s="553">
        <v>1</v>
      </c>
      <c r="D642" s="305"/>
      <c r="E642" s="309">
        <f t="shared" si="27"/>
        <v>10.165000000000001</v>
      </c>
      <c r="F642" s="498"/>
      <c r="G642" s="304">
        <f t="shared" si="25"/>
        <v>77</v>
      </c>
      <c r="H642" s="308"/>
      <c r="I642" s="309">
        <f t="shared" si="26"/>
        <v>30.788200000000003</v>
      </c>
    </row>
    <row r="643" spans="1:9" x14ac:dyDescent="0.2">
      <c r="A643" s="304">
        <v>26</v>
      </c>
      <c r="B643" s="553">
        <v>26</v>
      </c>
      <c r="C643" s="553">
        <v>1</v>
      </c>
      <c r="D643" s="305"/>
      <c r="E643" s="309">
        <f t="shared" si="27"/>
        <v>10.5616</v>
      </c>
      <c r="F643" s="498"/>
      <c r="G643" s="304">
        <f t="shared" si="25"/>
        <v>78</v>
      </c>
      <c r="H643" s="308"/>
      <c r="I643" s="309">
        <f t="shared" si="26"/>
        <v>31.184800000000003</v>
      </c>
    </row>
    <row r="644" spans="1:9" x14ac:dyDescent="0.2">
      <c r="A644" s="304">
        <v>27</v>
      </c>
      <c r="B644" s="553">
        <v>27</v>
      </c>
      <c r="C644" s="553">
        <v>1</v>
      </c>
      <c r="D644" s="305"/>
      <c r="E644" s="309">
        <f t="shared" si="27"/>
        <v>10.958200000000001</v>
      </c>
      <c r="F644" s="498"/>
      <c r="G644" s="304">
        <f t="shared" si="25"/>
        <v>79</v>
      </c>
      <c r="H644" s="308"/>
      <c r="I644" s="309">
        <f t="shared" si="26"/>
        <v>31.581400000000002</v>
      </c>
    </row>
    <row r="645" spans="1:9" x14ac:dyDescent="0.2">
      <c r="A645" s="304">
        <v>28</v>
      </c>
      <c r="B645" s="553">
        <v>28</v>
      </c>
      <c r="C645" s="553">
        <v>1</v>
      </c>
      <c r="D645" s="305"/>
      <c r="E645" s="309">
        <f t="shared" si="27"/>
        <v>11.354800000000001</v>
      </c>
      <c r="F645" s="498"/>
      <c r="G645" s="304">
        <f t="shared" si="25"/>
        <v>80</v>
      </c>
      <c r="H645" s="308"/>
      <c r="I645" s="309">
        <f t="shared" si="26"/>
        <v>31.978000000000005</v>
      </c>
    </row>
    <row r="646" spans="1:9" x14ac:dyDescent="0.2">
      <c r="A646" s="304">
        <v>29</v>
      </c>
      <c r="B646" s="553">
        <v>29</v>
      </c>
      <c r="C646" s="553">
        <v>1</v>
      </c>
      <c r="D646" s="305"/>
      <c r="E646" s="309">
        <f t="shared" si="27"/>
        <v>11.751400000000002</v>
      </c>
      <c r="F646" s="498"/>
      <c r="G646" s="304">
        <f t="shared" si="25"/>
        <v>81</v>
      </c>
      <c r="H646" s="308"/>
      <c r="I646" s="309">
        <f t="shared" si="26"/>
        <v>32.374600000000008</v>
      </c>
    </row>
    <row r="647" spans="1:9" x14ac:dyDescent="0.2">
      <c r="A647" s="304">
        <v>30</v>
      </c>
      <c r="B647" s="553">
        <v>30</v>
      </c>
      <c r="C647" s="553">
        <v>1</v>
      </c>
      <c r="D647" s="305"/>
      <c r="E647" s="309">
        <f t="shared" si="27"/>
        <v>12.148000000000001</v>
      </c>
      <c r="F647" s="498"/>
      <c r="G647" s="304">
        <f t="shared" si="25"/>
        <v>82</v>
      </c>
      <c r="H647" s="308"/>
      <c r="I647" s="309">
        <f t="shared" si="26"/>
        <v>32.7712</v>
      </c>
    </row>
    <row r="648" spans="1:9" x14ac:dyDescent="0.2">
      <c r="A648" s="304">
        <v>31</v>
      </c>
      <c r="B648" s="553">
        <v>31</v>
      </c>
      <c r="C648" s="553">
        <v>1</v>
      </c>
      <c r="D648" s="305"/>
      <c r="E648" s="309">
        <f t="shared" si="27"/>
        <v>12.544600000000003</v>
      </c>
      <c r="F648" s="498"/>
      <c r="G648" s="304">
        <f t="shared" si="25"/>
        <v>83</v>
      </c>
      <c r="H648" s="308"/>
      <c r="I648" s="309">
        <f t="shared" si="26"/>
        <v>33.1678</v>
      </c>
    </row>
    <row r="649" spans="1:9" x14ac:dyDescent="0.2">
      <c r="A649" s="304">
        <v>32</v>
      </c>
      <c r="B649" s="553">
        <v>32</v>
      </c>
      <c r="C649" s="553">
        <v>1</v>
      </c>
      <c r="D649" s="305"/>
      <c r="E649" s="309">
        <f t="shared" si="27"/>
        <v>12.941200000000002</v>
      </c>
      <c r="F649" s="498"/>
      <c r="G649" s="304">
        <f t="shared" si="25"/>
        <v>84</v>
      </c>
      <c r="H649" s="308"/>
      <c r="I649" s="309">
        <f t="shared" si="26"/>
        <v>33.564399999999999</v>
      </c>
    </row>
    <row r="650" spans="1:9" x14ac:dyDescent="0.2">
      <c r="A650" s="304">
        <v>33</v>
      </c>
      <c r="B650" s="553">
        <v>33</v>
      </c>
      <c r="C650" s="553">
        <v>1</v>
      </c>
      <c r="D650" s="305"/>
      <c r="E650" s="309">
        <f t="shared" si="27"/>
        <v>13.337800000000001</v>
      </c>
      <c r="F650" s="498"/>
      <c r="G650" s="304">
        <f t="shared" si="25"/>
        <v>85</v>
      </c>
      <c r="H650" s="308"/>
      <c r="I650" s="309">
        <f t="shared" si="26"/>
        <v>33.961000000000006</v>
      </c>
    </row>
    <row r="651" spans="1:9" x14ac:dyDescent="0.2">
      <c r="A651" s="304">
        <v>34</v>
      </c>
      <c r="B651" s="553">
        <v>34</v>
      </c>
      <c r="C651" s="553">
        <v>1</v>
      </c>
      <c r="D651" s="305"/>
      <c r="E651" s="309">
        <f t="shared" si="27"/>
        <v>13.734400000000001</v>
      </c>
      <c r="F651" s="498"/>
      <c r="G651" s="304">
        <f t="shared" si="25"/>
        <v>86</v>
      </c>
      <c r="H651" s="308"/>
      <c r="I651" s="309">
        <f t="shared" si="26"/>
        <v>34.357600000000005</v>
      </c>
    </row>
    <row r="652" spans="1:9" x14ac:dyDescent="0.2">
      <c r="A652" s="304">
        <v>35</v>
      </c>
      <c r="B652" s="553">
        <v>35</v>
      </c>
      <c r="C652" s="553">
        <v>1</v>
      </c>
      <c r="D652" s="305"/>
      <c r="E652" s="309">
        <f t="shared" si="27"/>
        <v>14.131</v>
      </c>
      <c r="F652" s="498"/>
      <c r="G652" s="304">
        <f t="shared" si="25"/>
        <v>87</v>
      </c>
      <c r="H652" s="308"/>
      <c r="I652" s="309">
        <f t="shared" si="26"/>
        <v>34.754200000000004</v>
      </c>
    </row>
    <row r="653" spans="1:9" x14ac:dyDescent="0.2">
      <c r="A653" s="304">
        <v>36</v>
      </c>
      <c r="B653" s="553">
        <v>36</v>
      </c>
      <c r="C653" s="553">
        <v>1</v>
      </c>
      <c r="D653" s="305"/>
      <c r="E653" s="309">
        <f t="shared" si="27"/>
        <v>14.527600000000001</v>
      </c>
      <c r="F653" s="498"/>
      <c r="G653" s="304">
        <f t="shared" si="25"/>
        <v>88</v>
      </c>
      <c r="H653" s="308"/>
      <c r="I653" s="309">
        <f t="shared" si="26"/>
        <v>35.150800000000004</v>
      </c>
    </row>
    <row r="654" spans="1:9" x14ac:dyDescent="0.2">
      <c r="A654" s="304">
        <v>37</v>
      </c>
      <c r="B654" s="553">
        <v>37</v>
      </c>
      <c r="C654" s="553">
        <v>1</v>
      </c>
      <c r="D654" s="305"/>
      <c r="E654" s="309">
        <f t="shared" si="27"/>
        <v>14.924200000000003</v>
      </c>
      <c r="F654" s="498"/>
      <c r="G654" s="304">
        <f t="shared" si="25"/>
        <v>89</v>
      </c>
      <c r="H654" s="308"/>
      <c r="I654" s="309">
        <f t="shared" si="26"/>
        <v>35.547400000000003</v>
      </c>
    </row>
    <row r="655" spans="1:9" x14ac:dyDescent="0.2">
      <c r="A655" s="304">
        <v>38</v>
      </c>
      <c r="B655" s="553">
        <v>38</v>
      </c>
      <c r="C655" s="553">
        <v>1</v>
      </c>
      <c r="D655" s="305"/>
      <c r="E655" s="309">
        <f t="shared" si="27"/>
        <v>15.3208</v>
      </c>
      <c r="F655" s="498"/>
      <c r="G655" s="304">
        <f t="shared" si="25"/>
        <v>90</v>
      </c>
      <c r="H655" s="308"/>
      <c r="I655" s="309">
        <f t="shared" si="26"/>
        <v>35.944000000000003</v>
      </c>
    </row>
    <row r="656" spans="1:9" x14ac:dyDescent="0.2">
      <c r="A656" s="304">
        <v>39</v>
      </c>
      <c r="B656" s="553">
        <v>39</v>
      </c>
      <c r="C656" s="553">
        <v>1</v>
      </c>
      <c r="D656" s="305"/>
      <c r="E656" s="309">
        <f t="shared" si="27"/>
        <v>15.717400000000001</v>
      </c>
      <c r="F656" s="498"/>
      <c r="G656" s="304">
        <f t="shared" si="25"/>
        <v>91</v>
      </c>
      <c r="H656" s="308"/>
      <c r="I656" s="309">
        <f t="shared" si="26"/>
        <v>36.340600000000002</v>
      </c>
    </row>
    <row r="657" spans="1:9" x14ac:dyDescent="0.2">
      <c r="A657" s="304">
        <v>40</v>
      </c>
      <c r="B657" s="553">
        <v>40</v>
      </c>
      <c r="C657" s="553">
        <v>1</v>
      </c>
      <c r="D657" s="305"/>
      <c r="E657" s="309">
        <f t="shared" si="27"/>
        <v>16.114000000000001</v>
      </c>
      <c r="F657" s="498"/>
      <c r="G657" s="304">
        <f t="shared" si="25"/>
        <v>92</v>
      </c>
      <c r="H657" s="308"/>
      <c r="I657" s="309">
        <f t="shared" si="26"/>
        <v>36.737200000000001</v>
      </c>
    </row>
    <row r="658" spans="1:9" x14ac:dyDescent="0.2">
      <c r="A658" s="304">
        <v>41</v>
      </c>
      <c r="B658" s="553">
        <v>41</v>
      </c>
      <c r="C658" s="553">
        <v>1</v>
      </c>
      <c r="D658" s="305"/>
      <c r="E658" s="309">
        <f t="shared" si="27"/>
        <v>16.5106</v>
      </c>
      <c r="F658" s="498"/>
      <c r="G658" s="304">
        <f t="shared" si="25"/>
        <v>93</v>
      </c>
      <c r="H658" s="308"/>
      <c r="I658" s="309">
        <f t="shared" si="26"/>
        <v>37.133800000000001</v>
      </c>
    </row>
    <row r="659" spans="1:9" x14ac:dyDescent="0.2">
      <c r="A659" s="304">
        <v>42</v>
      </c>
      <c r="B659" s="553">
        <v>42</v>
      </c>
      <c r="C659" s="553">
        <v>1</v>
      </c>
      <c r="D659" s="305"/>
      <c r="E659" s="309">
        <f t="shared" si="27"/>
        <v>16.9072</v>
      </c>
      <c r="F659" s="498"/>
      <c r="G659" s="304">
        <f t="shared" si="25"/>
        <v>94</v>
      </c>
      <c r="H659" s="308"/>
      <c r="I659" s="309">
        <f t="shared" si="26"/>
        <v>37.530400000000007</v>
      </c>
    </row>
    <row r="660" spans="1:9" x14ac:dyDescent="0.2">
      <c r="A660" s="304">
        <v>43</v>
      </c>
      <c r="B660" s="553">
        <v>43</v>
      </c>
      <c r="C660" s="553">
        <v>1</v>
      </c>
      <c r="D660" s="305"/>
      <c r="E660" s="309">
        <f t="shared" si="27"/>
        <v>17.303800000000003</v>
      </c>
      <c r="F660" s="498"/>
      <c r="G660" s="304">
        <f t="shared" si="25"/>
        <v>95</v>
      </c>
      <c r="H660" s="308"/>
      <c r="I660" s="309">
        <f t="shared" si="26"/>
        <v>37.927000000000007</v>
      </c>
    </row>
    <row r="661" spans="1:9" x14ac:dyDescent="0.2">
      <c r="A661" s="304">
        <v>44</v>
      </c>
      <c r="B661" s="553">
        <v>44</v>
      </c>
      <c r="C661" s="553">
        <v>1</v>
      </c>
      <c r="D661" s="305"/>
      <c r="E661" s="309">
        <f t="shared" si="27"/>
        <v>17.700400000000002</v>
      </c>
      <c r="F661" s="498"/>
      <c r="G661" s="304">
        <f t="shared" si="25"/>
        <v>96</v>
      </c>
      <c r="H661" s="308"/>
      <c r="I661" s="309">
        <f t="shared" si="26"/>
        <v>38.323599999999999</v>
      </c>
    </row>
    <row r="662" spans="1:9" x14ac:dyDescent="0.2">
      <c r="A662" s="304">
        <v>45</v>
      </c>
      <c r="B662" s="553">
        <v>45</v>
      </c>
      <c r="C662" s="553">
        <v>1</v>
      </c>
      <c r="D662" s="305"/>
      <c r="E662" s="309">
        <f t="shared" si="27"/>
        <v>18.097000000000001</v>
      </c>
      <c r="F662" s="498"/>
      <c r="G662" s="304">
        <f t="shared" si="25"/>
        <v>97</v>
      </c>
      <c r="H662" s="308"/>
      <c r="I662" s="309">
        <f t="shared" si="26"/>
        <v>38.720200000000006</v>
      </c>
    </row>
    <row r="663" spans="1:9" x14ac:dyDescent="0.2">
      <c r="A663" s="304">
        <v>46</v>
      </c>
      <c r="B663" s="553">
        <v>46</v>
      </c>
      <c r="C663" s="553">
        <v>1</v>
      </c>
      <c r="D663" s="305"/>
      <c r="E663" s="309">
        <f t="shared" si="27"/>
        <v>18.493600000000001</v>
      </c>
      <c r="F663" s="498"/>
      <c r="G663" s="304">
        <f t="shared" si="25"/>
        <v>98</v>
      </c>
      <c r="H663" s="308"/>
      <c r="I663" s="309">
        <f t="shared" si="26"/>
        <v>39.116800000000005</v>
      </c>
    </row>
    <row r="664" spans="1:9" x14ac:dyDescent="0.2">
      <c r="A664" s="304">
        <v>47</v>
      </c>
      <c r="B664" s="553">
        <v>47</v>
      </c>
      <c r="C664" s="553">
        <v>1</v>
      </c>
      <c r="D664" s="305"/>
      <c r="E664" s="309">
        <f t="shared" si="27"/>
        <v>18.890200000000004</v>
      </c>
      <c r="F664" s="498"/>
      <c r="G664" s="304">
        <f t="shared" si="25"/>
        <v>99</v>
      </c>
      <c r="H664" s="308"/>
      <c r="I664" s="309">
        <f t="shared" si="26"/>
        <v>39.513400000000004</v>
      </c>
    </row>
    <row r="665" spans="1:9" x14ac:dyDescent="0.2">
      <c r="A665" s="304">
        <v>48</v>
      </c>
      <c r="B665" s="553">
        <v>48</v>
      </c>
      <c r="C665" s="553">
        <v>1</v>
      </c>
      <c r="D665" s="305"/>
      <c r="E665" s="309">
        <f t="shared" si="27"/>
        <v>19.286799999999999</v>
      </c>
      <c r="F665" s="498"/>
      <c r="G665" s="304">
        <f t="shared" si="25"/>
        <v>100</v>
      </c>
      <c r="H665" s="308"/>
      <c r="I665" s="309">
        <f t="shared" si="26"/>
        <v>39.910000000000004</v>
      </c>
    </row>
    <row r="666" spans="1:9" x14ac:dyDescent="0.2">
      <c r="A666" s="304">
        <v>49</v>
      </c>
      <c r="B666" s="553">
        <v>49</v>
      </c>
      <c r="C666" s="553">
        <v>1</v>
      </c>
      <c r="D666" s="305"/>
      <c r="E666" s="309">
        <f t="shared" si="27"/>
        <v>19.683400000000002</v>
      </c>
      <c r="F666" s="498"/>
      <c r="G666" s="499"/>
      <c r="H666" s="499"/>
      <c r="I666" s="499"/>
    </row>
    <row r="667" spans="1:9" x14ac:dyDescent="0.2">
      <c r="A667" s="304">
        <v>50</v>
      </c>
      <c r="B667" s="553">
        <v>50</v>
      </c>
      <c r="C667" s="553">
        <v>1</v>
      </c>
      <c r="D667" s="305"/>
      <c r="E667" s="309">
        <f t="shared" si="27"/>
        <v>20.080000000000002</v>
      </c>
      <c r="F667" s="498"/>
      <c r="G667" s="499"/>
      <c r="H667" s="499"/>
      <c r="I667" s="499"/>
    </row>
    <row r="668" spans="1:9" x14ac:dyDescent="0.2">
      <c r="A668" s="304">
        <v>51</v>
      </c>
      <c r="B668" s="553">
        <v>51</v>
      </c>
      <c r="C668" s="553">
        <v>1</v>
      </c>
      <c r="D668" s="305"/>
      <c r="E668" s="309">
        <f t="shared" si="27"/>
        <v>20.476600000000005</v>
      </c>
      <c r="F668" s="498"/>
      <c r="G668" s="499"/>
      <c r="H668" s="499"/>
      <c r="I668" s="499"/>
    </row>
    <row r="669" spans="1:9" x14ac:dyDescent="0.2">
      <c r="A669" s="304">
        <v>52</v>
      </c>
      <c r="B669" s="553">
        <v>52</v>
      </c>
      <c r="C669" s="553">
        <v>1</v>
      </c>
      <c r="D669" s="305"/>
      <c r="E669" s="309">
        <f t="shared" si="27"/>
        <v>20.873200000000001</v>
      </c>
      <c r="F669" s="498"/>
      <c r="G669" s="499"/>
      <c r="H669" s="499"/>
      <c r="I669" s="499"/>
    </row>
    <row r="670" spans="1:9" x14ac:dyDescent="0.2">
      <c r="A670" s="304">
        <v>53</v>
      </c>
      <c r="B670" s="553">
        <v>53</v>
      </c>
      <c r="C670" s="553">
        <v>1</v>
      </c>
      <c r="D670" s="305"/>
      <c r="E670" s="309">
        <f t="shared" si="27"/>
        <v>21.269800000000004</v>
      </c>
      <c r="F670" s="498"/>
      <c r="G670" s="499"/>
      <c r="H670" s="499"/>
      <c r="I670" s="499"/>
    </row>
    <row r="671" spans="1:9" x14ac:dyDescent="0.2">
      <c r="A671" s="304">
        <v>54</v>
      </c>
      <c r="B671" s="553">
        <v>54</v>
      </c>
      <c r="C671" s="553">
        <v>1</v>
      </c>
      <c r="D671" s="305"/>
      <c r="E671" s="309">
        <f t="shared" si="27"/>
        <v>21.666400000000003</v>
      </c>
      <c r="F671" s="498"/>
      <c r="G671" s="499"/>
      <c r="H671" s="499"/>
      <c r="I671" s="499"/>
    </row>
    <row r="672" spans="1:9" x14ac:dyDescent="0.2">
      <c r="A672" s="304">
        <v>55</v>
      </c>
      <c r="B672" s="553">
        <v>55</v>
      </c>
      <c r="C672" s="553">
        <v>1</v>
      </c>
      <c r="D672" s="305"/>
      <c r="E672" s="309">
        <f t="shared" si="27"/>
        <v>22.063000000000002</v>
      </c>
      <c r="F672" s="498"/>
      <c r="G672" s="499"/>
      <c r="H672" s="499"/>
      <c r="I672" s="499"/>
    </row>
    <row r="673" spans="1:9" x14ac:dyDescent="0.2">
      <c r="A673" s="304">
        <v>56</v>
      </c>
      <c r="B673" s="553">
        <v>56</v>
      </c>
      <c r="C673" s="553">
        <v>1</v>
      </c>
      <c r="D673" s="305"/>
      <c r="E673" s="309">
        <f t="shared" si="27"/>
        <v>22.459600000000002</v>
      </c>
      <c r="F673" s="498"/>
      <c r="G673" s="499"/>
      <c r="H673" s="499"/>
      <c r="I673" s="499"/>
    </row>
    <row r="674" spans="1:9" x14ac:dyDescent="0.2">
      <c r="A674" s="304">
        <v>57</v>
      </c>
      <c r="B674" s="553">
        <v>57</v>
      </c>
      <c r="C674" s="553">
        <v>1</v>
      </c>
      <c r="D674" s="305"/>
      <c r="E674" s="309">
        <f t="shared" si="27"/>
        <v>22.856200000000001</v>
      </c>
      <c r="F674" s="498"/>
      <c r="G674" s="499"/>
      <c r="H674" s="499"/>
      <c r="I674" s="499"/>
    </row>
    <row r="675" spans="1:9" x14ac:dyDescent="0.2">
      <c r="A675" s="304">
        <v>58</v>
      </c>
      <c r="B675" s="553">
        <v>58</v>
      </c>
      <c r="C675" s="553">
        <v>1</v>
      </c>
      <c r="D675" s="305"/>
      <c r="E675" s="309">
        <f t="shared" si="27"/>
        <v>23.252800000000004</v>
      </c>
      <c r="F675" s="498"/>
      <c r="G675" s="499"/>
      <c r="H675" s="499"/>
      <c r="I675" s="499"/>
    </row>
    <row r="676" spans="1:9" x14ac:dyDescent="0.2">
      <c r="A676" s="304">
        <v>59</v>
      </c>
      <c r="B676" s="553">
        <v>59</v>
      </c>
      <c r="C676" s="553">
        <v>1</v>
      </c>
      <c r="D676" s="305"/>
      <c r="E676" s="309">
        <f t="shared" si="27"/>
        <v>23.6494</v>
      </c>
      <c r="F676" s="498"/>
      <c r="G676" s="499"/>
      <c r="H676" s="499"/>
      <c r="I676" s="499"/>
    </row>
    <row r="677" spans="1:9" x14ac:dyDescent="0.2">
      <c r="A677" s="304">
        <v>60</v>
      </c>
      <c r="B677" s="553">
        <v>60</v>
      </c>
      <c r="C677" s="553">
        <v>1</v>
      </c>
      <c r="D677" s="305"/>
      <c r="E677" s="309">
        <f t="shared" si="27"/>
        <v>24.046000000000003</v>
      </c>
      <c r="F677" s="498"/>
      <c r="G677" s="499"/>
      <c r="H677" s="499"/>
      <c r="I677" s="499"/>
    </row>
    <row r="678" spans="1:9" x14ac:dyDescent="0.2">
      <c r="A678" s="304">
        <v>61</v>
      </c>
      <c r="B678" s="553">
        <v>61</v>
      </c>
      <c r="C678" s="553">
        <v>1</v>
      </c>
      <c r="D678" s="305"/>
      <c r="E678" s="309">
        <f t="shared" si="27"/>
        <v>24.442600000000002</v>
      </c>
      <c r="F678" s="498"/>
      <c r="G678" s="499"/>
      <c r="H678" s="499"/>
      <c r="I678" s="499"/>
    </row>
    <row r="679" spans="1:9" x14ac:dyDescent="0.2">
      <c r="A679" s="304">
        <v>62</v>
      </c>
      <c r="B679" s="553">
        <v>62</v>
      </c>
      <c r="C679" s="553">
        <v>1</v>
      </c>
      <c r="D679" s="305"/>
      <c r="E679" s="309">
        <f t="shared" si="27"/>
        <v>24.839200000000005</v>
      </c>
      <c r="F679" s="498"/>
      <c r="G679" s="499"/>
    </row>
    <row r="680" spans="1:9" x14ac:dyDescent="0.2">
      <c r="A680" s="304">
        <v>63</v>
      </c>
      <c r="B680" s="553">
        <v>63</v>
      </c>
      <c r="C680" s="553">
        <v>1</v>
      </c>
      <c r="D680" s="305"/>
      <c r="E680" s="309">
        <f t="shared" si="27"/>
        <v>25.235800000000001</v>
      </c>
      <c r="F680" s="498"/>
      <c r="G680" s="499"/>
    </row>
    <row r="681" spans="1:9" x14ac:dyDescent="0.2">
      <c r="A681" s="304">
        <v>64</v>
      </c>
      <c r="B681" s="553">
        <v>64</v>
      </c>
      <c r="C681" s="553">
        <v>1</v>
      </c>
      <c r="D681" s="305"/>
      <c r="E681" s="309">
        <f t="shared" si="27"/>
        <v>25.632400000000004</v>
      </c>
      <c r="F681" s="498"/>
      <c r="G681" s="499"/>
    </row>
    <row r="682" spans="1:9" x14ac:dyDescent="0.2">
      <c r="A682" s="304">
        <v>65</v>
      </c>
      <c r="B682" s="553">
        <v>65</v>
      </c>
      <c r="C682" s="553">
        <v>1</v>
      </c>
      <c r="D682" s="305"/>
      <c r="E682" s="309">
        <f t="shared" si="27"/>
        <v>26.029000000000003</v>
      </c>
      <c r="F682" s="498"/>
      <c r="G682" s="499"/>
    </row>
    <row r="683" spans="1:9" x14ac:dyDescent="0.2">
      <c r="A683" s="304">
        <v>66</v>
      </c>
      <c r="B683" s="553">
        <v>66</v>
      </c>
      <c r="C683" s="553">
        <v>1</v>
      </c>
      <c r="D683" s="305"/>
      <c r="E683" s="309">
        <f t="shared" si="27"/>
        <v>26.425600000000003</v>
      </c>
      <c r="F683" s="498"/>
      <c r="G683" s="499"/>
    </row>
    <row r="684" spans="1:9" x14ac:dyDescent="0.2">
      <c r="A684" s="304">
        <v>67</v>
      </c>
      <c r="B684" s="553">
        <v>67</v>
      </c>
      <c r="C684" s="553">
        <v>1</v>
      </c>
      <c r="D684" s="305"/>
      <c r="E684" s="309">
        <f t="shared" ref="E684:E717" si="28">(($C$615*B684)+($D$615*C684))*(1-D684)*5%</f>
        <v>26.822200000000006</v>
      </c>
      <c r="F684" s="498"/>
      <c r="G684" s="499"/>
    </row>
    <row r="685" spans="1:9" x14ac:dyDescent="0.2">
      <c r="A685" s="304">
        <v>68</v>
      </c>
      <c r="B685" s="553">
        <v>68</v>
      </c>
      <c r="C685" s="553">
        <v>1</v>
      </c>
      <c r="D685" s="305"/>
      <c r="E685" s="309">
        <f t="shared" si="28"/>
        <v>27.218800000000002</v>
      </c>
      <c r="F685" s="498"/>
      <c r="G685" s="499"/>
    </row>
    <row r="686" spans="1:9" x14ac:dyDescent="0.2">
      <c r="A686" s="304">
        <v>69</v>
      </c>
      <c r="B686" s="553">
        <v>69</v>
      </c>
      <c r="C686" s="553">
        <v>1</v>
      </c>
      <c r="D686" s="305"/>
      <c r="E686" s="309">
        <f t="shared" si="28"/>
        <v>27.615400000000001</v>
      </c>
      <c r="F686" s="498"/>
      <c r="G686" s="499"/>
    </row>
    <row r="687" spans="1:9" x14ac:dyDescent="0.2">
      <c r="A687" s="304">
        <v>70</v>
      </c>
      <c r="B687" s="553">
        <v>70</v>
      </c>
      <c r="C687" s="553">
        <v>1</v>
      </c>
      <c r="D687" s="305"/>
      <c r="E687" s="309">
        <f t="shared" si="28"/>
        <v>28.012</v>
      </c>
      <c r="F687" s="498"/>
      <c r="G687" s="499"/>
    </row>
    <row r="688" spans="1:9" x14ac:dyDescent="0.2">
      <c r="A688" s="304">
        <v>71</v>
      </c>
      <c r="B688" s="553">
        <v>71</v>
      </c>
      <c r="C688" s="553">
        <v>1</v>
      </c>
      <c r="D688" s="305"/>
      <c r="E688" s="309">
        <f t="shared" si="28"/>
        <v>28.408600000000003</v>
      </c>
      <c r="F688" s="498"/>
      <c r="G688" s="499"/>
    </row>
    <row r="689" spans="1:7" x14ac:dyDescent="0.2">
      <c r="A689" s="304">
        <v>72</v>
      </c>
      <c r="B689" s="553">
        <v>72</v>
      </c>
      <c r="C689" s="553">
        <v>1</v>
      </c>
      <c r="D689" s="305"/>
      <c r="E689" s="309">
        <f t="shared" si="28"/>
        <v>28.805200000000003</v>
      </c>
      <c r="F689" s="498"/>
      <c r="G689" s="499"/>
    </row>
    <row r="690" spans="1:7" x14ac:dyDescent="0.2">
      <c r="A690" s="304">
        <v>73</v>
      </c>
      <c r="B690" s="553">
        <v>73</v>
      </c>
      <c r="C690" s="553">
        <v>1</v>
      </c>
      <c r="D690" s="305"/>
      <c r="E690" s="309">
        <f t="shared" si="28"/>
        <v>29.201800000000006</v>
      </c>
      <c r="F690" s="498"/>
      <c r="G690" s="499"/>
    </row>
    <row r="691" spans="1:7" x14ac:dyDescent="0.2">
      <c r="A691" s="304">
        <v>74</v>
      </c>
      <c r="B691" s="553">
        <v>74</v>
      </c>
      <c r="C691" s="553">
        <v>1</v>
      </c>
      <c r="D691" s="305"/>
      <c r="E691" s="309">
        <f t="shared" si="28"/>
        <v>29.598400000000005</v>
      </c>
      <c r="F691" s="498"/>
      <c r="G691" s="499"/>
    </row>
    <row r="692" spans="1:7" x14ac:dyDescent="0.2">
      <c r="A692" s="304">
        <v>75</v>
      </c>
      <c r="B692" s="553">
        <v>75</v>
      </c>
      <c r="C692" s="553">
        <v>1</v>
      </c>
      <c r="D692" s="305"/>
      <c r="E692" s="309">
        <f t="shared" si="28"/>
        <v>29.995000000000001</v>
      </c>
      <c r="F692" s="498"/>
      <c r="G692" s="499"/>
    </row>
    <row r="693" spans="1:7" x14ac:dyDescent="0.2">
      <c r="A693" s="304">
        <v>76</v>
      </c>
      <c r="B693" s="553">
        <v>76</v>
      </c>
      <c r="C693" s="553">
        <v>1</v>
      </c>
      <c r="D693" s="305"/>
      <c r="E693" s="309">
        <f t="shared" si="28"/>
        <v>30.3916</v>
      </c>
      <c r="F693" s="498"/>
      <c r="G693" s="499"/>
    </row>
    <row r="694" spans="1:7" x14ac:dyDescent="0.2">
      <c r="A694" s="304">
        <v>77</v>
      </c>
      <c r="B694" s="553">
        <v>77</v>
      </c>
      <c r="C694" s="553">
        <v>1</v>
      </c>
      <c r="D694" s="305"/>
      <c r="E694" s="309">
        <f t="shared" si="28"/>
        <v>30.788200000000003</v>
      </c>
      <c r="F694" s="498"/>
      <c r="G694" s="499"/>
    </row>
    <row r="695" spans="1:7" x14ac:dyDescent="0.2">
      <c r="A695" s="304">
        <v>78</v>
      </c>
      <c r="B695" s="553">
        <v>78</v>
      </c>
      <c r="C695" s="553">
        <v>1</v>
      </c>
      <c r="D695" s="305"/>
      <c r="E695" s="309">
        <f t="shared" si="28"/>
        <v>31.184800000000003</v>
      </c>
      <c r="F695" s="498"/>
      <c r="G695" s="499"/>
    </row>
    <row r="696" spans="1:7" x14ac:dyDescent="0.2">
      <c r="A696" s="304">
        <v>79</v>
      </c>
      <c r="B696" s="553">
        <v>79</v>
      </c>
      <c r="C696" s="553">
        <v>1</v>
      </c>
      <c r="D696" s="305"/>
      <c r="E696" s="309">
        <f t="shared" si="28"/>
        <v>31.581400000000002</v>
      </c>
      <c r="F696" s="498"/>
      <c r="G696" s="499"/>
    </row>
    <row r="697" spans="1:7" x14ac:dyDescent="0.2">
      <c r="A697" s="304">
        <v>80</v>
      </c>
      <c r="B697" s="553">
        <v>80</v>
      </c>
      <c r="C697" s="553">
        <v>1</v>
      </c>
      <c r="D697" s="305"/>
      <c r="E697" s="309">
        <f t="shared" si="28"/>
        <v>31.978000000000005</v>
      </c>
      <c r="F697" s="498"/>
      <c r="G697" s="499"/>
    </row>
    <row r="698" spans="1:7" x14ac:dyDescent="0.2">
      <c r="A698" s="304">
        <v>81</v>
      </c>
      <c r="B698" s="553">
        <v>81</v>
      </c>
      <c r="C698" s="553">
        <v>1</v>
      </c>
      <c r="D698" s="305"/>
      <c r="E698" s="309">
        <f t="shared" si="28"/>
        <v>32.374600000000008</v>
      </c>
      <c r="F698" s="498"/>
      <c r="G698" s="499"/>
    </row>
    <row r="699" spans="1:7" x14ac:dyDescent="0.2">
      <c r="A699" s="304">
        <v>82</v>
      </c>
      <c r="B699" s="553">
        <v>82</v>
      </c>
      <c r="C699" s="553">
        <v>1</v>
      </c>
      <c r="D699" s="305"/>
      <c r="E699" s="309">
        <f t="shared" si="28"/>
        <v>32.7712</v>
      </c>
      <c r="F699" s="498"/>
      <c r="G699" s="499"/>
    </row>
    <row r="700" spans="1:7" x14ac:dyDescent="0.2">
      <c r="A700" s="304">
        <v>83</v>
      </c>
      <c r="B700" s="553">
        <v>83</v>
      </c>
      <c r="C700" s="553">
        <v>1</v>
      </c>
      <c r="D700" s="305"/>
      <c r="E700" s="309">
        <f t="shared" si="28"/>
        <v>33.1678</v>
      </c>
      <c r="F700" s="498"/>
      <c r="G700" s="499"/>
    </row>
    <row r="701" spans="1:7" x14ac:dyDescent="0.2">
      <c r="A701" s="304">
        <v>84</v>
      </c>
      <c r="B701" s="553">
        <v>84</v>
      </c>
      <c r="C701" s="553">
        <v>1</v>
      </c>
      <c r="D701" s="305"/>
      <c r="E701" s="309">
        <f t="shared" si="28"/>
        <v>33.564399999999999</v>
      </c>
      <c r="F701" s="498"/>
      <c r="G701" s="499"/>
    </row>
    <row r="702" spans="1:7" x14ac:dyDescent="0.2">
      <c r="A702" s="304">
        <v>85</v>
      </c>
      <c r="B702" s="553">
        <v>85</v>
      </c>
      <c r="C702" s="553">
        <v>1</v>
      </c>
      <c r="D702" s="305"/>
      <c r="E702" s="309">
        <f t="shared" si="28"/>
        <v>33.961000000000006</v>
      </c>
      <c r="F702" s="498"/>
      <c r="G702" s="499"/>
    </row>
    <row r="703" spans="1:7" x14ac:dyDescent="0.2">
      <c r="A703" s="304">
        <v>86</v>
      </c>
      <c r="B703" s="553">
        <v>86</v>
      </c>
      <c r="C703" s="553">
        <v>1</v>
      </c>
      <c r="D703" s="305"/>
      <c r="E703" s="309">
        <f t="shared" si="28"/>
        <v>34.357600000000005</v>
      </c>
      <c r="F703" s="498"/>
      <c r="G703" s="499"/>
    </row>
    <row r="704" spans="1:7" x14ac:dyDescent="0.2">
      <c r="A704" s="304">
        <v>87</v>
      </c>
      <c r="B704" s="553">
        <v>87</v>
      </c>
      <c r="C704" s="553">
        <v>1</v>
      </c>
      <c r="D704" s="305"/>
      <c r="E704" s="309">
        <f t="shared" si="28"/>
        <v>34.754200000000004</v>
      </c>
      <c r="F704" s="498"/>
      <c r="G704" s="499"/>
    </row>
    <row r="705" spans="1:7" x14ac:dyDescent="0.2">
      <c r="A705" s="304">
        <v>88</v>
      </c>
      <c r="B705" s="553">
        <v>88</v>
      </c>
      <c r="C705" s="553">
        <v>1</v>
      </c>
      <c r="D705" s="305"/>
      <c r="E705" s="309">
        <f t="shared" si="28"/>
        <v>35.150800000000004</v>
      </c>
      <c r="F705" s="502" t="s">
        <v>5</v>
      </c>
      <c r="G705" s="499"/>
    </row>
    <row r="706" spans="1:7" x14ac:dyDescent="0.2">
      <c r="A706" s="304">
        <v>89</v>
      </c>
      <c r="B706" s="553">
        <v>89</v>
      </c>
      <c r="C706" s="553">
        <v>1</v>
      </c>
      <c r="D706" s="305"/>
      <c r="E706" s="309">
        <f t="shared" si="28"/>
        <v>35.547400000000003</v>
      </c>
      <c r="F706" s="502"/>
      <c r="G706" s="499"/>
    </row>
    <row r="707" spans="1:7" x14ac:dyDescent="0.2">
      <c r="A707" s="304">
        <v>90</v>
      </c>
      <c r="B707" s="553">
        <v>90</v>
      </c>
      <c r="C707" s="553">
        <v>1</v>
      </c>
      <c r="D707" s="305"/>
      <c r="E707" s="309">
        <f t="shared" si="28"/>
        <v>35.944000000000003</v>
      </c>
      <c r="F707" s="502"/>
      <c r="G707" s="499"/>
    </row>
    <row r="708" spans="1:7" x14ac:dyDescent="0.2">
      <c r="A708" s="304">
        <v>91</v>
      </c>
      <c r="B708" s="553">
        <v>91</v>
      </c>
      <c r="C708" s="553">
        <v>1</v>
      </c>
      <c r="D708" s="305"/>
      <c r="E708" s="309">
        <f t="shared" si="28"/>
        <v>36.340600000000002</v>
      </c>
      <c r="F708" s="502" t="s">
        <v>14</v>
      </c>
      <c r="G708" s="499"/>
    </row>
    <row r="709" spans="1:7" x14ac:dyDescent="0.2">
      <c r="A709" s="304">
        <v>92</v>
      </c>
      <c r="B709" s="553">
        <v>92</v>
      </c>
      <c r="C709" s="553">
        <v>1</v>
      </c>
      <c r="D709" s="305"/>
      <c r="E709" s="309">
        <f t="shared" si="28"/>
        <v>36.737200000000001</v>
      </c>
      <c r="F709" s="502" t="s">
        <v>217</v>
      </c>
      <c r="G709" s="499"/>
    </row>
    <row r="710" spans="1:7" x14ac:dyDescent="0.2">
      <c r="A710" s="304">
        <v>93</v>
      </c>
      <c r="B710" s="553">
        <v>93</v>
      </c>
      <c r="C710" s="553">
        <v>1</v>
      </c>
      <c r="D710" s="305"/>
      <c r="E710" s="309">
        <f t="shared" si="28"/>
        <v>37.133800000000001</v>
      </c>
      <c r="F710" s="502"/>
      <c r="G710" s="499"/>
    </row>
    <row r="711" spans="1:7" x14ac:dyDescent="0.2">
      <c r="A711" s="304">
        <v>94</v>
      </c>
      <c r="B711" s="553">
        <v>94</v>
      </c>
      <c r="C711" s="553">
        <v>1</v>
      </c>
      <c r="D711" s="305"/>
      <c r="E711" s="309">
        <f t="shared" si="28"/>
        <v>37.530400000000007</v>
      </c>
      <c r="F711" s="502"/>
      <c r="G711" s="499"/>
    </row>
    <row r="712" spans="1:7" x14ac:dyDescent="0.2">
      <c r="A712" s="304">
        <v>95</v>
      </c>
      <c r="B712" s="553">
        <v>95</v>
      </c>
      <c r="C712" s="553">
        <v>1</v>
      </c>
      <c r="D712" s="305"/>
      <c r="E712" s="309">
        <f t="shared" si="28"/>
        <v>37.927000000000007</v>
      </c>
      <c r="F712" s="502" t="s">
        <v>11</v>
      </c>
      <c r="G712" s="499"/>
    </row>
    <row r="713" spans="1:7" x14ac:dyDescent="0.2">
      <c r="A713" s="304">
        <v>96</v>
      </c>
      <c r="B713" s="553">
        <v>96</v>
      </c>
      <c r="C713" s="553">
        <v>1</v>
      </c>
      <c r="D713" s="305"/>
      <c r="E713" s="309">
        <f t="shared" si="28"/>
        <v>38.323599999999999</v>
      </c>
      <c r="F713" s="502"/>
      <c r="G713" s="499"/>
    </row>
    <row r="714" spans="1:7" x14ac:dyDescent="0.2">
      <c r="A714" s="304">
        <v>97</v>
      </c>
      <c r="B714" s="553">
        <v>97</v>
      </c>
      <c r="C714" s="553">
        <v>1</v>
      </c>
      <c r="D714" s="305"/>
      <c r="E714" s="309">
        <f t="shared" si="28"/>
        <v>38.720200000000006</v>
      </c>
      <c r="F714" s="502"/>
      <c r="G714" s="499"/>
    </row>
    <row r="715" spans="1:7" x14ac:dyDescent="0.2">
      <c r="A715" s="304">
        <v>98</v>
      </c>
      <c r="B715" s="553">
        <v>98</v>
      </c>
      <c r="C715" s="553">
        <v>1</v>
      </c>
      <c r="D715" s="305"/>
      <c r="E715" s="309">
        <f t="shared" si="28"/>
        <v>39.116800000000005</v>
      </c>
      <c r="F715" s="502" t="s">
        <v>219</v>
      </c>
      <c r="G715" s="499"/>
    </row>
    <row r="716" spans="1:7" x14ac:dyDescent="0.2">
      <c r="A716" s="304">
        <v>99</v>
      </c>
      <c r="B716" s="553">
        <v>99</v>
      </c>
      <c r="C716" s="553">
        <v>1</v>
      </c>
      <c r="D716" s="305"/>
      <c r="E716" s="309">
        <f t="shared" si="28"/>
        <v>39.513400000000004</v>
      </c>
      <c r="F716" s="502" t="s">
        <v>220</v>
      </c>
      <c r="G716" s="499"/>
    </row>
    <row r="717" spans="1:7" x14ac:dyDescent="0.2">
      <c r="A717" s="304">
        <v>100</v>
      </c>
      <c r="B717" s="553">
        <v>100</v>
      </c>
      <c r="C717" s="553">
        <v>1</v>
      </c>
      <c r="D717" s="305"/>
      <c r="E717" s="309">
        <f t="shared" si="28"/>
        <v>39.910000000000004</v>
      </c>
      <c r="F717" s="503"/>
      <c r="G717" s="499"/>
    </row>
    <row r="718" spans="1:7" x14ac:dyDescent="0.2">
      <c r="A718" s="424"/>
      <c r="B718" s="554"/>
      <c r="C718" s="555"/>
      <c r="D718" s="311"/>
      <c r="E718" s="312"/>
    </row>
    <row r="719" spans="1:7" x14ac:dyDescent="0.2">
      <c r="E719" s="122">
        <f>SUM(E618:E718)</f>
        <v>2011.7686899999999</v>
      </c>
    </row>
    <row r="730" spans="1:5" ht="15" x14ac:dyDescent="0.35">
      <c r="A730" s="422" t="s">
        <v>316</v>
      </c>
    </row>
    <row r="731" spans="1:5" x14ac:dyDescent="0.2">
      <c r="A731" s="295" t="s">
        <v>317</v>
      </c>
      <c r="B731" s="296"/>
      <c r="C731" s="296"/>
      <c r="D731" s="296"/>
    </row>
    <row r="732" spans="1:5" ht="15" x14ac:dyDescent="0.25">
      <c r="A732" s="297" t="s">
        <v>202</v>
      </c>
      <c r="B732" s="298"/>
      <c r="C732" s="298"/>
      <c r="D732" s="298"/>
      <c r="E732" s="294"/>
    </row>
    <row r="733" spans="1:5" ht="15" x14ac:dyDescent="0.25">
      <c r="A733" s="1074" t="s">
        <v>3</v>
      </c>
      <c r="B733" s="1075"/>
      <c r="C733" s="1118" t="s">
        <v>270</v>
      </c>
      <c r="D733" s="1118"/>
      <c r="E733" s="294"/>
    </row>
    <row r="734" spans="1:5" ht="15" x14ac:dyDescent="0.25">
      <c r="A734" s="1076"/>
      <c r="B734" s="1077"/>
      <c r="C734" s="299" t="s">
        <v>135</v>
      </c>
      <c r="D734" s="299" t="s">
        <v>136</v>
      </c>
      <c r="E734" s="294"/>
    </row>
    <row r="735" spans="1:5" ht="15" x14ac:dyDescent="0.25">
      <c r="A735" s="300" t="s">
        <v>137</v>
      </c>
      <c r="B735" s="301"/>
      <c r="C735" s="350">
        <v>3.5813999999999999</v>
      </c>
      <c r="D735" s="379"/>
      <c r="E735" s="294"/>
    </row>
    <row r="736" spans="1:5" ht="15" x14ac:dyDescent="0.25">
      <c r="A736" s="302" t="s">
        <v>138</v>
      </c>
      <c r="B736" s="298"/>
      <c r="C736" s="493">
        <v>1.1999</v>
      </c>
      <c r="D736" s="380"/>
      <c r="E736" s="294"/>
    </row>
    <row r="737" spans="1:7" ht="15" x14ac:dyDescent="0.25">
      <c r="A737" s="302" t="s">
        <v>139</v>
      </c>
      <c r="B737" s="298"/>
      <c r="C737" s="494">
        <v>0.54610000000000003</v>
      </c>
      <c r="D737" s="380"/>
      <c r="E737" s="294"/>
    </row>
    <row r="738" spans="1:7" ht="15" x14ac:dyDescent="0.25">
      <c r="A738" s="302" t="s">
        <v>140</v>
      </c>
      <c r="B738" s="298"/>
      <c r="C738" s="303">
        <v>0.84489999999999998</v>
      </c>
      <c r="D738" s="380"/>
      <c r="E738" s="294"/>
    </row>
    <row r="739" spans="1:7" ht="15" x14ac:dyDescent="0.25">
      <c r="A739" s="302" t="s">
        <v>141</v>
      </c>
      <c r="B739" s="298"/>
      <c r="C739" s="303">
        <v>0.7732</v>
      </c>
      <c r="D739" s="380"/>
      <c r="E739" s="294"/>
    </row>
    <row r="740" spans="1:7" ht="15" x14ac:dyDescent="0.25">
      <c r="A740" s="302" t="s">
        <v>142</v>
      </c>
      <c r="B740" s="298"/>
      <c r="C740" s="381">
        <v>0.45689999999999997</v>
      </c>
      <c r="D740" s="382">
        <v>5</v>
      </c>
      <c r="E740" s="294"/>
    </row>
    <row r="741" spans="1:7" ht="15" x14ac:dyDescent="0.25">
      <c r="A741" s="383" t="s">
        <v>2</v>
      </c>
      <c r="B741" s="384"/>
      <c r="C741" s="385">
        <f>SUM(C735:C740)</f>
        <v>7.4024000000000001</v>
      </c>
      <c r="D741" s="386">
        <f>SUM(D735:D740)</f>
        <v>5</v>
      </c>
      <c r="E741" s="78"/>
      <c r="F741" s="78"/>
      <c r="G741" s="78"/>
    </row>
    <row r="742" spans="1:7" x14ac:dyDescent="0.2">
      <c r="A742" s="296"/>
      <c r="B742" s="296"/>
      <c r="C742" s="296"/>
      <c r="D742" s="296"/>
    </row>
    <row r="743" spans="1:7" x14ac:dyDescent="0.2">
      <c r="A743" s="296"/>
      <c r="B743" s="296"/>
      <c r="C743" s="296"/>
      <c r="D743" s="296"/>
    </row>
    <row r="744" spans="1:7" x14ac:dyDescent="0.2">
      <c r="A744" s="296"/>
      <c r="B744" s="296"/>
      <c r="C744" s="296"/>
      <c r="D744" s="296"/>
    </row>
    <row r="745" spans="1:7" x14ac:dyDescent="0.2">
      <c r="A745" s="296"/>
      <c r="B745" s="296"/>
      <c r="C745" s="296"/>
      <c r="D745" s="296"/>
    </row>
    <row r="746" spans="1:7" ht="51" x14ac:dyDescent="0.2">
      <c r="A746" s="44" t="s">
        <v>203</v>
      </c>
      <c r="B746" s="306" t="s">
        <v>68</v>
      </c>
      <c r="C746" s="44" t="s">
        <v>204</v>
      </c>
      <c r="D746" s="44" t="s">
        <v>205</v>
      </c>
      <c r="E746" s="307" t="s">
        <v>206</v>
      </c>
    </row>
    <row r="747" spans="1:7" x14ac:dyDescent="0.2">
      <c r="A747" s="304">
        <v>1</v>
      </c>
      <c r="B747" s="304">
        <f>A747*C747</f>
        <v>1</v>
      </c>
      <c r="C747" s="756">
        <v>1</v>
      </c>
      <c r="D747" s="308">
        <v>0.25</v>
      </c>
      <c r="E747" s="309">
        <f>(($C$741*B747)+($D$741*C747))*(1-D747)*5%</f>
        <v>0.46509</v>
      </c>
      <c r="F747" s="498"/>
      <c r="G747" s="499"/>
    </row>
    <row r="748" spans="1:7" x14ac:dyDescent="0.2">
      <c r="A748" s="304">
        <v>2</v>
      </c>
      <c r="B748" s="304">
        <f t="shared" ref="B748:B811" si="29">A748*C748</f>
        <v>2</v>
      </c>
      <c r="C748" s="756">
        <v>1</v>
      </c>
      <c r="D748" s="308">
        <v>0.25</v>
      </c>
      <c r="E748" s="309">
        <f>(($C$741*B748)+($D$741*C748))*(1-D748)*5%</f>
        <v>0.74268000000000001</v>
      </c>
      <c r="F748" s="498"/>
      <c r="G748" s="499"/>
    </row>
    <row r="749" spans="1:7" x14ac:dyDescent="0.2">
      <c r="A749" s="304">
        <v>3</v>
      </c>
      <c r="B749" s="304">
        <f t="shared" si="29"/>
        <v>3</v>
      </c>
      <c r="C749" s="756">
        <v>1</v>
      </c>
      <c r="D749" s="308">
        <v>0.25</v>
      </c>
      <c r="E749" s="309">
        <f t="shared" ref="E749:E812" si="30">(($C$741*B749)+($D$741*C749))*(1-D749)*5%</f>
        <v>1.02027</v>
      </c>
      <c r="F749" s="498"/>
      <c r="G749" s="499"/>
    </row>
    <row r="750" spans="1:7" x14ac:dyDescent="0.2">
      <c r="A750" s="304">
        <v>4</v>
      </c>
      <c r="B750" s="304">
        <f t="shared" si="29"/>
        <v>4</v>
      </c>
      <c r="C750" s="756">
        <v>1</v>
      </c>
      <c r="D750" s="308">
        <v>0.25</v>
      </c>
      <c r="E750" s="309">
        <f t="shared" si="30"/>
        <v>1.29786</v>
      </c>
      <c r="F750" s="498"/>
      <c r="G750" s="499"/>
    </row>
    <row r="751" spans="1:7" x14ac:dyDescent="0.2">
      <c r="A751" s="304">
        <v>5</v>
      </c>
      <c r="B751" s="304">
        <f t="shared" si="29"/>
        <v>5</v>
      </c>
      <c r="C751" s="756">
        <v>1</v>
      </c>
      <c r="D751" s="308">
        <v>0.25</v>
      </c>
      <c r="E751" s="309">
        <f t="shared" si="30"/>
        <v>1.57545</v>
      </c>
      <c r="F751" s="498"/>
      <c r="G751" s="499"/>
    </row>
    <row r="752" spans="1:7" x14ac:dyDescent="0.2">
      <c r="A752" s="304">
        <v>6</v>
      </c>
      <c r="B752" s="304">
        <f t="shared" si="29"/>
        <v>6</v>
      </c>
      <c r="C752" s="756">
        <v>1</v>
      </c>
      <c r="D752" s="308">
        <v>0.25</v>
      </c>
      <c r="E752" s="309">
        <f t="shared" si="30"/>
        <v>1.85304</v>
      </c>
      <c r="F752" s="498"/>
      <c r="G752" s="499"/>
    </row>
    <row r="753" spans="1:7" x14ac:dyDescent="0.2">
      <c r="A753" s="304">
        <v>7</v>
      </c>
      <c r="B753" s="304">
        <f t="shared" si="29"/>
        <v>7</v>
      </c>
      <c r="C753" s="756">
        <v>1</v>
      </c>
      <c r="D753" s="308">
        <v>0.25</v>
      </c>
      <c r="E753" s="309">
        <f t="shared" si="30"/>
        <v>2.13063</v>
      </c>
      <c r="F753" s="498"/>
      <c r="G753" s="499"/>
    </row>
    <row r="754" spans="1:7" x14ac:dyDescent="0.2">
      <c r="A754" s="304">
        <v>8</v>
      </c>
      <c r="B754" s="304">
        <f t="shared" si="29"/>
        <v>8</v>
      </c>
      <c r="C754" s="756">
        <v>1</v>
      </c>
      <c r="D754" s="308">
        <v>0.25</v>
      </c>
      <c r="E754" s="309">
        <f t="shared" si="30"/>
        <v>2.40822</v>
      </c>
      <c r="F754" s="498"/>
      <c r="G754" s="499"/>
    </row>
    <row r="755" spans="1:7" x14ac:dyDescent="0.2">
      <c r="A755" s="304">
        <v>9</v>
      </c>
      <c r="B755" s="304">
        <f t="shared" si="29"/>
        <v>9</v>
      </c>
      <c r="C755" s="756">
        <v>1</v>
      </c>
      <c r="D755" s="308">
        <v>0.25</v>
      </c>
      <c r="E755" s="309">
        <f t="shared" si="30"/>
        <v>2.68581</v>
      </c>
      <c r="F755" s="498"/>
      <c r="G755" s="499"/>
    </row>
    <row r="756" spans="1:7" x14ac:dyDescent="0.2">
      <c r="A756" s="304">
        <v>10</v>
      </c>
      <c r="B756" s="304">
        <f t="shared" si="29"/>
        <v>10</v>
      </c>
      <c r="C756" s="756">
        <v>1</v>
      </c>
      <c r="D756" s="308">
        <v>0.25</v>
      </c>
      <c r="E756" s="309">
        <f t="shared" si="30"/>
        <v>2.9634</v>
      </c>
      <c r="F756" s="498"/>
      <c r="G756" s="499"/>
    </row>
    <row r="757" spans="1:7" x14ac:dyDescent="0.2">
      <c r="A757" s="304">
        <v>11</v>
      </c>
      <c r="B757" s="304">
        <f t="shared" si="29"/>
        <v>11</v>
      </c>
      <c r="C757" s="756">
        <v>1</v>
      </c>
      <c r="D757" s="308">
        <v>0.25</v>
      </c>
      <c r="E757" s="309">
        <f t="shared" si="30"/>
        <v>3.24099</v>
      </c>
      <c r="F757" s="498"/>
      <c r="G757" s="499"/>
    </row>
    <row r="758" spans="1:7" x14ac:dyDescent="0.2">
      <c r="A758" s="304">
        <v>12</v>
      </c>
      <c r="B758" s="304">
        <f t="shared" si="29"/>
        <v>12</v>
      </c>
      <c r="C758" s="756">
        <v>1</v>
      </c>
      <c r="D758" s="308">
        <v>0.25</v>
      </c>
      <c r="E758" s="309">
        <f t="shared" si="30"/>
        <v>3.51858</v>
      </c>
      <c r="F758" s="498"/>
      <c r="G758" s="499"/>
    </row>
    <row r="759" spans="1:7" x14ac:dyDescent="0.2">
      <c r="A759" s="304">
        <v>13</v>
      </c>
      <c r="B759" s="304">
        <f t="shared" si="29"/>
        <v>13</v>
      </c>
      <c r="C759" s="756">
        <v>1</v>
      </c>
      <c r="D759" s="308">
        <v>0.25</v>
      </c>
      <c r="E759" s="309">
        <f t="shared" si="30"/>
        <v>3.79617</v>
      </c>
      <c r="F759" s="498"/>
      <c r="G759" s="499"/>
    </row>
    <row r="760" spans="1:7" x14ac:dyDescent="0.2">
      <c r="A760" s="304">
        <v>14</v>
      </c>
      <c r="B760" s="304">
        <f t="shared" si="29"/>
        <v>14</v>
      </c>
      <c r="C760" s="756">
        <v>1</v>
      </c>
      <c r="D760" s="308">
        <v>0.25</v>
      </c>
      <c r="E760" s="309">
        <f t="shared" si="30"/>
        <v>4.07376</v>
      </c>
      <c r="F760" s="498"/>
      <c r="G760" s="499"/>
    </row>
    <row r="761" spans="1:7" x14ac:dyDescent="0.2">
      <c r="A761" s="304">
        <v>15</v>
      </c>
      <c r="B761" s="304">
        <f t="shared" si="29"/>
        <v>15</v>
      </c>
      <c r="C761" s="756">
        <v>1</v>
      </c>
      <c r="D761" s="308">
        <v>0.25</v>
      </c>
      <c r="E761" s="309">
        <f t="shared" si="30"/>
        <v>4.3513500000000001</v>
      </c>
      <c r="F761" s="498"/>
      <c r="G761" s="499"/>
    </row>
    <row r="762" spans="1:7" x14ac:dyDescent="0.2">
      <c r="A762" s="304">
        <v>16</v>
      </c>
      <c r="B762" s="304">
        <f t="shared" si="29"/>
        <v>16</v>
      </c>
      <c r="C762" s="756">
        <v>1</v>
      </c>
      <c r="D762" s="308">
        <v>0.15</v>
      </c>
      <c r="E762" s="309">
        <f t="shared" si="30"/>
        <v>5.2461320000000002</v>
      </c>
      <c r="F762" s="498"/>
      <c r="G762" s="499"/>
    </row>
    <row r="763" spans="1:7" x14ac:dyDescent="0.2">
      <c r="A763" s="304">
        <v>17</v>
      </c>
      <c r="B763" s="304">
        <f t="shared" si="29"/>
        <v>17</v>
      </c>
      <c r="C763" s="756">
        <v>1</v>
      </c>
      <c r="D763" s="308">
        <v>0.1</v>
      </c>
      <c r="E763" s="309">
        <f t="shared" si="30"/>
        <v>5.8878360000000001</v>
      </c>
      <c r="F763" s="498"/>
      <c r="G763" s="499"/>
    </row>
    <row r="764" spans="1:7" x14ac:dyDescent="0.2">
      <c r="A764" s="304">
        <v>18</v>
      </c>
      <c r="B764" s="304">
        <f t="shared" si="29"/>
        <v>18</v>
      </c>
      <c r="C764" s="756">
        <v>1</v>
      </c>
      <c r="D764" s="308">
        <v>0.1</v>
      </c>
      <c r="E764" s="309">
        <f t="shared" si="30"/>
        <v>6.2209440000000003</v>
      </c>
      <c r="F764" s="498"/>
      <c r="G764" s="499"/>
    </row>
    <row r="765" spans="1:7" x14ac:dyDescent="0.2">
      <c r="A765" s="304">
        <v>19</v>
      </c>
      <c r="B765" s="304">
        <f t="shared" si="29"/>
        <v>19</v>
      </c>
      <c r="C765" s="756">
        <v>1</v>
      </c>
      <c r="D765" s="308">
        <v>0.05</v>
      </c>
      <c r="E765" s="309">
        <f t="shared" si="30"/>
        <v>6.9181659999999994</v>
      </c>
      <c r="F765" s="498"/>
      <c r="G765" s="499"/>
    </row>
    <row r="766" spans="1:7" x14ac:dyDescent="0.2">
      <c r="A766" s="304">
        <v>20</v>
      </c>
      <c r="B766" s="304">
        <f t="shared" si="29"/>
        <v>20</v>
      </c>
      <c r="C766" s="756">
        <v>1</v>
      </c>
      <c r="D766" s="308">
        <v>0.05</v>
      </c>
      <c r="E766" s="309">
        <f t="shared" si="30"/>
        <v>7.2697800000000008</v>
      </c>
      <c r="F766" s="498"/>
      <c r="G766" s="499"/>
    </row>
    <row r="767" spans="1:7" x14ac:dyDescent="0.2">
      <c r="A767" s="304">
        <v>21</v>
      </c>
      <c r="B767" s="304">
        <f t="shared" si="29"/>
        <v>21</v>
      </c>
      <c r="C767" s="756">
        <v>1</v>
      </c>
      <c r="D767" s="310"/>
      <c r="E767" s="309">
        <f t="shared" si="30"/>
        <v>8.0225200000000001</v>
      </c>
      <c r="F767" s="498"/>
      <c r="G767" s="499"/>
    </row>
    <row r="768" spans="1:7" x14ac:dyDescent="0.2">
      <c r="A768" s="304">
        <v>22</v>
      </c>
      <c r="B768" s="304">
        <f t="shared" si="29"/>
        <v>22</v>
      </c>
      <c r="C768" s="756">
        <v>1</v>
      </c>
      <c r="D768" s="305"/>
      <c r="E768" s="309">
        <f t="shared" si="30"/>
        <v>8.3926400000000001</v>
      </c>
      <c r="F768" s="498"/>
      <c r="G768" s="499"/>
    </row>
    <row r="769" spans="1:7" x14ac:dyDescent="0.2">
      <c r="A769" s="304">
        <v>23</v>
      </c>
      <c r="B769" s="304">
        <f t="shared" si="29"/>
        <v>23</v>
      </c>
      <c r="C769" s="756">
        <v>1</v>
      </c>
      <c r="D769" s="305"/>
      <c r="E769" s="309">
        <f t="shared" si="30"/>
        <v>8.7627600000000001</v>
      </c>
      <c r="F769" s="498"/>
      <c r="G769" s="499"/>
    </row>
    <row r="770" spans="1:7" x14ac:dyDescent="0.2">
      <c r="A770" s="304">
        <v>24</v>
      </c>
      <c r="B770" s="304">
        <f t="shared" si="29"/>
        <v>24</v>
      </c>
      <c r="C770" s="756">
        <v>1</v>
      </c>
      <c r="D770" s="305"/>
      <c r="E770" s="309">
        <f t="shared" si="30"/>
        <v>9.1328800000000001</v>
      </c>
      <c r="F770" s="498"/>
      <c r="G770" s="499"/>
    </row>
    <row r="771" spans="1:7" x14ac:dyDescent="0.2">
      <c r="A771" s="304">
        <v>25</v>
      </c>
      <c r="B771" s="304">
        <f t="shared" si="29"/>
        <v>25</v>
      </c>
      <c r="C771" s="756">
        <v>1</v>
      </c>
      <c r="D771" s="305"/>
      <c r="E771" s="309">
        <f t="shared" si="30"/>
        <v>9.5030000000000001</v>
      </c>
      <c r="F771" s="498"/>
      <c r="G771" s="499"/>
    </row>
    <row r="772" spans="1:7" x14ac:dyDescent="0.2">
      <c r="A772" s="304">
        <v>26</v>
      </c>
      <c r="B772" s="304">
        <f t="shared" si="29"/>
        <v>26</v>
      </c>
      <c r="C772" s="756">
        <v>1</v>
      </c>
      <c r="D772" s="305"/>
      <c r="E772" s="309">
        <f t="shared" si="30"/>
        <v>9.8731200000000001</v>
      </c>
      <c r="F772" s="498"/>
      <c r="G772" s="499"/>
    </row>
    <row r="773" spans="1:7" x14ac:dyDescent="0.2">
      <c r="A773" s="304">
        <v>27</v>
      </c>
      <c r="B773" s="304">
        <f t="shared" si="29"/>
        <v>27</v>
      </c>
      <c r="C773" s="756">
        <v>1</v>
      </c>
      <c r="D773" s="305"/>
      <c r="E773" s="309">
        <f t="shared" si="30"/>
        <v>10.24324</v>
      </c>
      <c r="F773" s="498"/>
      <c r="G773" s="499"/>
    </row>
    <row r="774" spans="1:7" x14ac:dyDescent="0.2">
      <c r="A774" s="304">
        <v>28</v>
      </c>
      <c r="B774" s="304">
        <f t="shared" si="29"/>
        <v>28</v>
      </c>
      <c r="C774" s="756">
        <v>1</v>
      </c>
      <c r="D774" s="305"/>
      <c r="E774" s="309">
        <f t="shared" si="30"/>
        <v>10.61336</v>
      </c>
      <c r="F774" s="498"/>
      <c r="G774" s="499"/>
    </row>
    <row r="775" spans="1:7" x14ac:dyDescent="0.2">
      <c r="A775" s="304">
        <v>29</v>
      </c>
      <c r="B775" s="304">
        <f t="shared" si="29"/>
        <v>29</v>
      </c>
      <c r="C775" s="756">
        <v>1</v>
      </c>
      <c r="D775" s="305"/>
      <c r="E775" s="309">
        <f t="shared" si="30"/>
        <v>10.98348</v>
      </c>
      <c r="F775" s="498"/>
      <c r="G775" s="499"/>
    </row>
    <row r="776" spans="1:7" x14ac:dyDescent="0.2">
      <c r="A776" s="304">
        <v>30</v>
      </c>
      <c r="B776" s="304">
        <f t="shared" si="29"/>
        <v>30</v>
      </c>
      <c r="C776" s="756">
        <v>1</v>
      </c>
      <c r="D776" s="305"/>
      <c r="E776" s="309">
        <f t="shared" si="30"/>
        <v>11.3536</v>
      </c>
      <c r="F776" s="498"/>
      <c r="G776" s="499"/>
    </row>
    <row r="777" spans="1:7" x14ac:dyDescent="0.2">
      <c r="A777" s="304">
        <v>31</v>
      </c>
      <c r="B777" s="304">
        <f t="shared" si="29"/>
        <v>31</v>
      </c>
      <c r="C777" s="756">
        <v>1</v>
      </c>
      <c r="D777" s="305"/>
      <c r="E777" s="309">
        <f t="shared" si="30"/>
        <v>11.72372</v>
      </c>
      <c r="F777" s="498"/>
      <c r="G777" s="499"/>
    </row>
    <row r="778" spans="1:7" x14ac:dyDescent="0.2">
      <c r="A778" s="304">
        <v>32</v>
      </c>
      <c r="B778" s="304">
        <f t="shared" si="29"/>
        <v>32</v>
      </c>
      <c r="C778" s="756">
        <v>1</v>
      </c>
      <c r="D778" s="305"/>
      <c r="E778" s="309">
        <f t="shared" si="30"/>
        <v>12.09384</v>
      </c>
      <c r="F778" s="498"/>
      <c r="G778" s="499"/>
    </row>
    <row r="779" spans="1:7" x14ac:dyDescent="0.2">
      <c r="A779" s="304">
        <v>33</v>
      </c>
      <c r="B779" s="304">
        <f t="shared" si="29"/>
        <v>33</v>
      </c>
      <c r="C779" s="756">
        <v>1</v>
      </c>
      <c r="D779" s="305"/>
      <c r="E779" s="309">
        <f t="shared" si="30"/>
        <v>12.46396</v>
      </c>
      <c r="F779" s="498"/>
      <c r="G779" s="499"/>
    </row>
    <row r="780" spans="1:7" x14ac:dyDescent="0.2">
      <c r="A780" s="304">
        <v>34</v>
      </c>
      <c r="B780" s="304">
        <f t="shared" si="29"/>
        <v>34</v>
      </c>
      <c r="C780" s="756">
        <v>1</v>
      </c>
      <c r="D780" s="305"/>
      <c r="E780" s="309">
        <f t="shared" si="30"/>
        <v>12.83408</v>
      </c>
      <c r="F780" s="498"/>
      <c r="G780" s="499"/>
    </row>
    <row r="781" spans="1:7" x14ac:dyDescent="0.2">
      <c r="A781" s="304">
        <v>35</v>
      </c>
      <c r="B781" s="304">
        <f t="shared" si="29"/>
        <v>35</v>
      </c>
      <c r="C781" s="756">
        <v>1</v>
      </c>
      <c r="D781" s="305"/>
      <c r="E781" s="309">
        <f t="shared" si="30"/>
        <v>13.2042</v>
      </c>
      <c r="F781" s="498"/>
      <c r="G781" s="499"/>
    </row>
    <row r="782" spans="1:7" x14ac:dyDescent="0.2">
      <c r="A782" s="304">
        <v>36</v>
      </c>
      <c r="B782" s="304">
        <f t="shared" si="29"/>
        <v>36</v>
      </c>
      <c r="C782" s="756">
        <v>1</v>
      </c>
      <c r="D782" s="305"/>
      <c r="E782" s="309">
        <f t="shared" si="30"/>
        <v>13.57432</v>
      </c>
      <c r="F782" s="498"/>
      <c r="G782" s="499"/>
    </row>
    <row r="783" spans="1:7" x14ac:dyDescent="0.2">
      <c r="A783" s="304">
        <v>37</v>
      </c>
      <c r="B783" s="304">
        <f t="shared" si="29"/>
        <v>37</v>
      </c>
      <c r="C783" s="756">
        <v>1</v>
      </c>
      <c r="D783" s="305"/>
      <c r="E783" s="309">
        <f t="shared" si="30"/>
        <v>13.94444</v>
      </c>
      <c r="F783" s="498"/>
      <c r="G783" s="499"/>
    </row>
    <row r="784" spans="1:7" x14ac:dyDescent="0.2">
      <c r="A784" s="304">
        <v>38</v>
      </c>
      <c r="B784" s="304">
        <f t="shared" si="29"/>
        <v>38</v>
      </c>
      <c r="C784" s="756">
        <v>1</v>
      </c>
      <c r="D784" s="305"/>
      <c r="E784" s="309">
        <f t="shared" si="30"/>
        <v>14.31456</v>
      </c>
      <c r="F784" s="498"/>
      <c r="G784" s="499"/>
    </row>
    <row r="785" spans="1:7" x14ac:dyDescent="0.2">
      <c r="A785" s="304">
        <v>39</v>
      </c>
      <c r="B785" s="304">
        <f t="shared" si="29"/>
        <v>39</v>
      </c>
      <c r="C785" s="756">
        <v>1</v>
      </c>
      <c r="D785" s="305"/>
      <c r="E785" s="309">
        <f t="shared" si="30"/>
        <v>14.68468</v>
      </c>
      <c r="F785" s="498"/>
      <c r="G785" s="499"/>
    </row>
    <row r="786" spans="1:7" x14ac:dyDescent="0.2">
      <c r="A786" s="304">
        <v>40</v>
      </c>
      <c r="B786" s="304">
        <f t="shared" si="29"/>
        <v>40</v>
      </c>
      <c r="C786" s="756">
        <v>1</v>
      </c>
      <c r="D786" s="305"/>
      <c r="E786" s="309">
        <f t="shared" si="30"/>
        <v>15.0548</v>
      </c>
      <c r="F786" s="498"/>
      <c r="G786" s="499"/>
    </row>
    <row r="787" spans="1:7" x14ac:dyDescent="0.2">
      <c r="A787" s="304">
        <v>41</v>
      </c>
      <c r="B787" s="304">
        <f t="shared" si="29"/>
        <v>41</v>
      </c>
      <c r="C787" s="756">
        <v>1</v>
      </c>
      <c r="D787" s="305"/>
      <c r="E787" s="309">
        <f t="shared" si="30"/>
        <v>15.42492</v>
      </c>
      <c r="F787" s="498"/>
      <c r="G787" s="499"/>
    </row>
    <row r="788" spans="1:7" x14ac:dyDescent="0.2">
      <c r="A788" s="304">
        <v>42</v>
      </c>
      <c r="B788" s="304">
        <f t="shared" si="29"/>
        <v>42</v>
      </c>
      <c r="C788" s="756">
        <v>1</v>
      </c>
      <c r="D788" s="305"/>
      <c r="E788" s="309">
        <f t="shared" si="30"/>
        <v>15.79504</v>
      </c>
      <c r="F788" s="498"/>
      <c r="G788" s="499"/>
    </row>
    <row r="789" spans="1:7" x14ac:dyDescent="0.2">
      <c r="A789" s="304">
        <v>43</v>
      </c>
      <c r="B789" s="304">
        <f t="shared" si="29"/>
        <v>43</v>
      </c>
      <c r="C789" s="756">
        <v>1</v>
      </c>
      <c r="D789" s="305"/>
      <c r="E789" s="309">
        <f t="shared" si="30"/>
        <v>16.16516</v>
      </c>
      <c r="F789" s="498"/>
      <c r="G789" s="499"/>
    </row>
    <row r="790" spans="1:7" x14ac:dyDescent="0.2">
      <c r="A790" s="304">
        <v>44</v>
      </c>
      <c r="B790" s="304">
        <f t="shared" si="29"/>
        <v>44</v>
      </c>
      <c r="C790" s="756">
        <v>1</v>
      </c>
      <c r="D790" s="305"/>
      <c r="E790" s="309">
        <f t="shared" si="30"/>
        <v>16.53528</v>
      </c>
      <c r="F790" s="498"/>
      <c r="G790" s="499"/>
    </row>
    <row r="791" spans="1:7" x14ac:dyDescent="0.2">
      <c r="A791" s="304">
        <v>45</v>
      </c>
      <c r="B791" s="304">
        <f t="shared" si="29"/>
        <v>45</v>
      </c>
      <c r="C791" s="756">
        <v>1</v>
      </c>
      <c r="D791" s="305"/>
      <c r="E791" s="309">
        <f t="shared" si="30"/>
        <v>16.9054</v>
      </c>
      <c r="F791" s="498"/>
      <c r="G791" s="499"/>
    </row>
    <row r="792" spans="1:7" x14ac:dyDescent="0.2">
      <c r="A792" s="304">
        <v>46</v>
      </c>
      <c r="B792" s="304">
        <f t="shared" si="29"/>
        <v>46</v>
      </c>
      <c r="C792" s="756">
        <v>1</v>
      </c>
      <c r="D792" s="305"/>
      <c r="E792" s="309">
        <f t="shared" si="30"/>
        <v>17.27552</v>
      </c>
      <c r="F792" s="498"/>
      <c r="G792" s="499"/>
    </row>
    <row r="793" spans="1:7" x14ac:dyDescent="0.2">
      <c r="A793" s="304">
        <v>47</v>
      </c>
      <c r="B793" s="304">
        <f t="shared" si="29"/>
        <v>47</v>
      </c>
      <c r="C793" s="756">
        <v>1</v>
      </c>
      <c r="D793" s="305"/>
      <c r="E793" s="309">
        <f t="shared" si="30"/>
        <v>17.64564</v>
      </c>
      <c r="F793" s="498"/>
      <c r="G793" s="499"/>
    </row>
    <row r="794" spans="1:7" x14ac:dyDescent="0.2">
      <c r="A794" s="304">
        <v>48</v>
      </c>
      <c r="B794" s="304">
        <f t="shared" si="29"/>
        <v>48</v>
      </c>
      <c r="C794" s="756">
        <v>1</v>
      </c>
      <c r="D794" s="305"/>
      <c r="E794" s="309">
        <f t="shared" si="30"/>
        <v>18.01576</v>
      </c>
      <c r="F794" s="498"/>
      <c r="G794" s="499"/>
    </row>
    <row r="795" spans="1:7" x14ac:dyDescent="0.2">
      <c r="A795" s="304">
        <v>49</v>
      </c>
      <c r="B795" s="304">
        <f t="shared" si="29"/>
        <v>49</v>
      </c>
      <c r="C795" s="756">
        <v>1</v>
      </c>
      <c r="D795" s="305"/>
      <c r="E795" s="309">
        <f t="shared" si="30"/>
        <v>18.38588</v>
      </c>
      <c r="F795" s="498"/>
      <c r="G795" s="499"/>
    </row>
    <row r="796" spans="1:7" x14ac:dyDescent="0.2">
      <c r="A796" s="304">
        <v>50</v>
      </c>
      <c r="B796" s="304">
        <f t="shared" si="29"/>
        <v>50</v>
      </c>
      <c r="C796" s="756">
        <v>1</v>
      </c>
      <c r="D796" s="305"/>
      <c r="E796" s="309">
        <f t="shared" si="30"/>
        <v>18.756</v>
      </c>
      <c r="F796" s="498"/>
      <c r="G796" s="499"/>
    </row>
    <row r="797" spans="1:7" x14ac:dyDescent="0.2">
      <c r="A797" s="304">
        <v>51</v>
      </c>
      <c r="B797" s="304">
        <f t="shared" si="29"/>
        <v>51</v>
      </c>
      <c r="C797" s="756">
        <v>1</v>
      </c>
      <c r="D797" s="305"/>
      <c r="E797" s="309">
        <f t="shared" si="30"/>
        <v>19.12612</v>
      </c>
      <c r="F797" s="498"/>
      <c r="G797" s="499"/>
    </row>
    <row r="798" spans="1:7" x14ac:dyDescent="0.2">
      <c r="A798" s="304">
        <v>52</v>
      </c>
      <c r="B798" s="304">
        <f t="shared" si="29"/>
        <v>52</v>
      </c>
      <c r="C798" s="756">
        <v>1</v>
      </c>
      <c r="D798" s="305"/>
      <c r="E798" s="309">
        <f t="shared" si="30"/>
        <v>19.49624</v>
      </c>
      <c r="F798" s="498"/>
      <c r="G798" s="499"/>
    </row>
    <row r="799" spans="1:7" x14ac:dyDescent="0.2">
      <c r="A799" s="304">
        <v>53</v>
      </c>
      <c r="B799" s="304">
        <f t="shared" si="29"/>
        <v>53</v>
      </c>
      <c r="C799" s="756">
        <v>1</v>
      </c>
      <c r="D799" s="305"/>
      <c r="E799" s="309">
        <f t="shared" si="30"/>
        <v>19.86636</v>
      </c>
      <c r="F799" s="498"/>
      <c r="G799" s="499"/>
    </row>
    <row r="800" spans="1:7" x14ac:dyDescent="0.2">
      <c r="A800" s="304">
        <v>54</v>
      </c>
      <c r="B800" s="304">
        <f t="shared" si="29"/>
        <v>54</v>
      </c>
      <c r="C800" s="756">
        <v>1</v>
      </c>
      <c r="D800" s="305"/>
      <c r="E800" s="309">
        <f t="shared" si="30"/>
        <v>20.23648</v>
      </c>
      <c r="F800" s="498"/>
      <c r="G800" s="499"/>
    </row>
    <row r="801" spans="1:7" x14ac:dyDescent="0.2">
      <c r="A801" s="304">
        <v>55</v>
      </c>
      <c r="B801" s="304">
        <f t="shared" si="29"/>
        <v>55</v>
      </c>
      <c r="C801" s="756">
        <v>1</v>
      </c>
      <c r="D801" s="305"/>
      <c r="E801" s="309">
        <f t="shared" si="30"/>
        <v>20.6066</v>
      </c>
      <c r="F801" s="498"/>
      <c r="G801" s="499"/>
    </row>
    <row r="802" spans="1:7" x14ac:dyDescent="0.2">
      <c r="A802" s="304">
        <v>56</v>
      </c>
      <c r="B802" s="304">
        <f t="shared" si="29"/>
        <v>56</v>
      </c>
      <c r="C802" s="756">
        <v>1</v>
      </c>
      <c r="D802" s="305"/>
      <c r="E802" s="309">
        <f t="shared" si="30"/>
        <v>20.97672</v>
      </c>
      <c r="F802" s="498"/>
      <c r="G802" s="499"/>
    </row>
    <row r="803" spans="1:7" x14ac:dyDescent="0.2">
      <c r="A803" s="304">
        <v>57</v>
      </c>
      <c r="B803" s="304">
        <f t="shared" si="29"/>
        <v>57</v>
      </c>
      <c r="C803" s="756">
        <v>1</v>
      </c>
      <c r="D803" s="305"/>
      <c r="E803" s="309">
        <f t="shared" si="30"/>
        <v>21.34684</v>
      </c>
      <c r="F803" s="498"/>
      <c r="G803" s="499"/>
    </row>
    <row r="804" spans="1:7" x14ac:dyDescent="0.2">
      <c r="A804" s="304">
        <v>58</v>
      </c>
      <c r="B804" s="304">
        <f t="shared" si="29"/>
        <v>58</v>
      </c>
      <c r="C804" s="756">
        <v>1</v>
      </c>
      <c r="D804" s="305"/>
      <c r="E804" s="309">
        <f t="shared" si="30"/>
        <v>21.71696</v>
      </c>
      <c r="F804" s="498"/>
      <c r="G804" s="499"/>
    </row>
    <row r="805" spans="1:7" x14ac:dyDescent="0.2">
      <c r="A805" s="304">
        <v>59</v>
      </c>
      <c r="B805" s="304">
        <f t="shared" si="29"/>
        <v>59</v>
      </c>
      <c r="C805" s="756">
        <v>1</v>
      </c>
      <c r="D805" s="305"/>
      <c r="E805" s="309">
        <f t="shared" si="30"/>
        <v>22.08708</v>
      </c>
      <c r="F805" s="498"/>
      <c r="G805" s="499"/>
    </row>
    <row r="806" spans="1:7" x14ac:dyDescent="0.2">
      <c r="A806" s="304">
        <v>60</v>
      </c>
      <c r="B806" s="304">
        <f t="shared" si="29"/>
        <v>60</v>
      </c>
      <c r="C806" s="756">
        <v>1</v>
      </c>
      <c r="D806" s="305"/>
      <c r="E806" s="309">
        <f t="shared" si="30"/>
        <v>22.4572</v>
      </c>
      <c r="F806" s="498"/>
      <c r="G806" s="499"/>
    </row>
    <row r="807" spans="1:7" x14ac:dyDescent="0.2">
      <c r="A807" s="304">
        <v>61</v>
      </c>
      <c r="B807" s="304">
        <f t="shared" si="29"/>
        <v>61</v>
      </c>
      <c r="C807" s="756">
        <v>1</v>
      </c>
      <c r="D807" s="305"/>
      <c r="E807" s="309">
        <f t="shared" si="30"/>
        <v>22.82732</v>
      </c>
      <c r="F807" s="498"/>
      <c r="G807" s="499"/>
    </row>
    <row r="808" spans="1:7" x14ac:dyDescent="0.2">
      <c r="A808" s="304">
        <v>62</v>
      </c>
      <c r="B808" s="304">
        <f t="shared" si="29"/>
        <v>62</v>
      </c>
      <c r="C808" s="756">
        <v>1</v>
      </c>
      <c r="D808" s="305"/>
      <c r="E808" s="309">
        <f t="shared" si="30"/>
        <v>23.19744</v>
      </c>
      <c r="F808" s="498"/>
      <c r="G808" s="499"/>
    </row>
    <row r="809" spans="1:7" x14ac:dyDescent="0.2">
      <c r="A809" s="304">
        <v>63</v>
      </c>
      <c r="B809" s="304">
        <f t="shared" si="29"/>
        <v>63</v>
      </c>
      <c r="C809" s="756">
        <v>1</v>
      </c>
      <c r="D809" s="305"/>
      <c r="E809" s="309">
        <f t="shared" si="30"/>
        <v>23.56756</v>
      </c>
      <c r="F809" s="498"/>
      <c r="G809" s="499"/>
    </row>
    <row r="810" spans="1:7" x14ac:dyDescent="0.2">
      <c r="A810" s="304">
        <v>64</v>
      </c>
      <c r="B810" s="304">
        <f t="shared" si="29"/>
        <v>64</v>
      </c>
      <c r="C810" s="756">
        <v>1</v>
      </c>
      <c r="D810" s="305"/>
      <c r="E810" s="309">
        <f t="shared" si="30"/>
        <v>23.93768</v>
      </c>
      <c r="F810" s="498"/>
      <c r="G810" s="499"/>
    </row>
    <row r="811" spans="1:7" x14ac:dyDescent="0.2">
      <c r="A811" s="304">
        <v>65</v>
      </c>
      <c r="B811" s="304">
        <f t="shared" si="29"/>
        <v>65</v>
      </c>
      <c r="C811" s="756">
        <v>1</v>
      </c>
      <c r="D811" s="305"/>
      <c r="E811" s="309">
        <f t="shared" si="30"/>
        <v>24.3078</v>
      </c>
      <c r="F811" s="498"/>
      <c r="G811" s="499"/>
    </row>
    <row r="812" spans="1:7" x14ac:dyDescent="0.2">
      <c r="A812" s="304">
        <v>66</v>
      </c>
      <c r="B812" s="304">
        <f t="shared" ref="B812:B846" si="31">A812*C812</f>
        <v>66</v>
      </c>
      <c r="C812" s="756">
        <v>1</v>
      </c>
      <c r="D812" s="305"/>
      <c r="E812" s="309">
        <f t="shared" si="30"/>
        <v>24.67792</v>
      </c>
      <c r="F812" s="498"/>
      <c r="G812" s="499"/>
    </row>
    <row r="813" spans="1:7" x14ac:dyDescent="0.2">
      <c r="A813" s="304">
        <v>67</v>
      </c>
      <c r="B813" s="304">
        <f t="shared" si="31"/>
        <v>67</v>
      </c>
      <c r="C813" s="756">
        <v>1</v>
      </c>
      <c r="D813" s="305"/>
      <c r="E813" s="309">
        <f t="shared" ref="E813:E846" si="32">(($C$741*B813)+($D$741*C813))*(1-D813)*5%</f>
        <v>25.04804</v>
      </c>
      <c r="F813" s="498"/>
      <c r="G813" s="499"/>
    </row>
    <row r="814" spans="1:7" x14ac:dyDescent="0.2">
      <c r="A814" s="304">
        <v>68</v>
      </c>
      <c r="B814" s="304">
        <f t="shared" si="31"/>
        <v>68</v>
      </c>
      <c r="C814" s="756">
        <v>1</v>
      </c>
      <c r="D814" s="305"/>
      <c r="E814" s="309">
        <f t="shared" si="32"/>
        <v>25.41816</v>
      </c>
      <c r="F814" s="498"/>
      <c r="G814" s="499"/>
    </row>
    <row r="815" spans="1:7" x14ac:dyDescent="0.2">
      <c r="A815" s="304">
        <v>69</v>
      </c>
      <c r="B815" s="304">
        <f t="shared" si="31"/>
        <v>69</v>
      </c>
      <c r="C815" s="756">
        <v>1</v>
      </c>
      <c r="D815" s="305"/>
      <c r="E815" s="309">
        <f t="shared" si="32"/>
        <v>25.78828</v>
      </c>
      <c r="F815" s="498"/>
      <c r="G815" s="499"/>
    </row>
    <row r="816" spans="1:7" x14ac:dyDescent="0.2">
      <c r="A816" s="304">
        <v>70</v>
      </c>
      <c r="B816" s="304">
        <f t="shared" si="31"/>
        <v>70</v>
      </c>
      <c r="C816" s="756">
        <v>1</v>
      </c>
      <c r="D816" s="305"/>
      <c r="E816" s="309">
        <f t="shared" si="32"/>
        <v>26.1584</v>
      </c>
      <c r="F816" s="498"/>
      <c r="G816" s="499"/>
    </row>
    <row r="817" spans="1:7" x14ac:dyDescent="0.2">
      <c r="A817" s="304">
        <v>71</v>
      </c>
      <c r="B817" s="304">
        <f t="shared" si="31"/>
        <v>71</v>
      </c>
      <c r="C817" s="756">
        <v>1</v>
      </c>
      <c r="D817" s="305"/>
      <c r="E817" s="309">
        <f t="shared" si="32"/>
        <v>26.528520000000004</v>
      </c>
      <c r="F817" s="498"/>
      <c r="G817" s="499"/>
    </row>
    <row r="818" spans="1:7" x14ac:dyDescent="0.2">
      <c r="A818" s="304">
        <v>72</v>
      </c>
      <c r="B818" s="304">
        <f t="shared" si="31"/>
        <v>72</v>
      </c>
      <c r="C818" s="756">
        <v>1</v>
      </c>
      <c r="D818" s="305"/>
      <c r="E818" s="309">
        <f t="shared" si="32"/>
        <v>26.89864</v>
      </c>
      <c r="F818" s="498"/>
      <c r="G818" s="499"/>
    </row>
    <row r="819" spans="1:7" x14ac:dyDescent="0.2">
      <c r="A819" s="304">
        <v>73</v>
      </c>
      <c r="B819" s="304">
        <f t="shared" si="31"/>
        <v>73</v>
      </c>
      <c r="C819" s="756">
        <v>1</v>
      </c>
      <c r="D819" s="305"/>
      <c r="E819" s="309">
        <f t="shared" si="32"/>
        <v>27.26876</v>
      </c>
      <c r="F819" s="498"/>
      <c r="G819" s="499"/>
    </row>
    <row r="820" spans="1:7" x14ac:dyDescent="0.2">
      <c r="A820" s="304">
        <v>74</v>
      </c>
      <c r="B820" s="304">
        <f t="shared" si="31"/>
        <v>74</v>
      </c>
      <c r="C820" s="756">
        <v>1</v>
      </c>
      <c r="D820" s="305"/>
      <c r="E820" s="309">
        <f t="shared" si="32"/>
        <v>27.63888</v>
      </c>
      <c r="F820" s="498"/>
      <c r="G820" s="499"/>
    </row>
    <row r="821" spans="1:7" x14ac:dyDescent="0.2">
      <c r="A821" s="304">
        <v>75</v>
      </c>
      <c r="B821" s="304">
        <f t="shared" si="31"/>
        <v>75</v>
      </c>
      <c r="C821" s="756">
        <v>1</v>
      </c>
      <c r="D821" s="305"/>
      <c r="E821" s="309">
        <f t="shared" si="32"/>
        <v>28.009000000000004</v>
      </c>
      <c r="F821" s="498"/>
      <c r="G821" s="499"/>
    </row>
    <row r="822" spans="1:7" x14ac:dyDescent="0.2">
      <c r="A822" s="304">
        <v>76</v>
      </c>
      <c r="B822" s="304">
        <f t="shared" si="31"/>
        <v>76</v>
      </c>
      <c r="C822" s="756">
        <v>1</v>
      </c>
      <c r="D822" s="305"/>
      <c r="E822" s="309">
        <f t="shared" si="32"/>
        <v>28.37912</v>
      </c>
      <c r="F822" s="498"/>
      <c r="G822" s="499"/>
    </row>
    <row r="823" spans="1:7" x14ac:dyDescent="0.2">
      <c r="A823" s="304">
        <v>77</v>
      </c>
      <c r="B823" s="304">
        <f t="shared" si="31"/>
        <v>77</v>
      </c>
      <c r="C823" s="756">
        <v>1</v>
      </c>
      <c r="D823" s="305"/>
      <c r="E823" s="309">
        <f t="shared" si="32"/>
        <v>28.74924</v>
      </c>
      <c r="F823" s="498"/>
      <c r="G823" s="499"/>
    </row>
    <row r="824" spans="1:7" x14ac:dyDescent="0.2">
      <c r="A824" s="304">
        <v>78</v>
      </c>
      <c r="B824" s="304">
        <f t="shared" si="31"/>
        <v>78</v>
      </c>
      <c r="C824" s="756">
        <v>1</v>
      </c>
      <c r="D824" s="305"/>
      <c r="E824" s="309">
        <f t="shared" si="32"/>
        <v>29.11936</v>
      </c>
      <c r="F824" s="498"/>
      <c r="G824" s="499"/>
    </row>
    <row r="825" spans="1:7" x14ac:dyDescent="0.2">
      <c r="A825" s="304">
        <v>79</v>
      </c>
      <c r="B825" s="304">
        <f t="shared" si="31"/>
        <v>79</v>
      </c>
      <c r="C825" s="756">
        <v>1</v>
      </c>
      <c r="D825" s="305"/>
      <c r="E825" s="309">
        <f t="shared" si="32"/>
        <v>29.489480000000004</v>
      </c>
      <c r="F825" s="498"/>
      <c r="G825" s="499"/>
    </row>
    <row r="826" spans="1:7" x14ac:dyDescent="0.2">
      <c r="A826" s="304">
        <v>80</v>
      </c>
      <c r="B826" s="304">
        <f t="shared" si="31"/>
        <v>80</v>
      </c>
      <c r="C826" s="756">
        <v>1</v>
      </c>
      <c r="D826" s="305"/>
      <c r="E826" s="309">
        <f t="shared" si="32"/>
        <v>29.8596</v>
      </c>
      <c r="F826" s="498"/>
      <c r="G826" s="499"/>
    </row>
    <row r="827" spans="1:7" x14ac:dyDescent="0.2">
      <c r="A827" s="304">
        <v>81</v>
      </c>
      <c r="B827" s="304">
        <f t="shared" si="31"/>
        <v>81</v>
      </c>
      <c r="C827" s="756">
        <v>1</v>
      </c>
      <c r="D827" s="305"/>
      <c r="E827" s="309">
        <f t="shared" si="32"/>
        <v>30.22972</v>
      </c>
      <c r="F827" s="498"/>
      <c r="G827" s="499"/>
    </row>
    <row r="828" spans="1:7" x14ac:dyDescent="0.2">
      <c r="A828" s="304">
        <v>82</v>
      </c>
      <c r="B828" s="304">
        <f t="shared" si="31"/>
        <v>82</v>
      </c>
      <c r="C828" s="756">
        <v>1</v>
      </c>
      <c r="D828" s="305"/>
      <c r="E828" s="309">
        <f t="shared" si="32"/>
        <v>30.59984</v>
      </c>
      <c r="F828" s="498"/>
      <c r="G828" s="499"/>
    </row>
    <row r="829" spans="1:7" x14ac:dyDescent="0.2">
      <c r="A829" s="304">
        <v>83</v>
      </c>
      <c r="B829" s="304">
        <f t="shared" si="31"/>
        <v>83</v>
      </c>
      <c r="C829" s="756">
        <v>1</v>
      </c>
      <c r="D829" s="305"/>
      <c r="E829" s="309">
        <f t="shared" si="32"/>
        <v>30.969960000000004</v>
      </c>
      <c r="F829" s="498"/>
      <c r="G829" s="499"/>
    </row>
    <row r="830" spans="1:7" x14ac:dyDescent="0.2">
      <c r="A830" s="304">
        <v>84</v>
      </c>
      <c r="B830" s="304">
        <f t="shared" si="31"/>
        <v>84</v>
      </c>
      <c r="C830" s="756">
        <v>1</v>
      </c>
      <c r="D830" s="305"/>
      <c r="E830" s="309">
        <f t="shared" si="32"/>
        <v>31.34008</v>
      </c>
      <c r="F830" s="498"/>
      <c r="G830" s="499"/>
    </row>
    <row r="831" spans="1:7" x14ac:dyDescent="0.2">
      <c r="A831" s="304">
        <v>85</v>
      </c>
      <c r="B831" s="304">
        <f t="shared" si="31"/>
        <v>85</v>
      </c>
      <c r="C831" s="756">
        <v>1</v>
      </c>
      <c r="D831" s="305"/>
      <c r="E831" s="309">
        <f t="shared" si="32"/>
        <v>31.7102</v>
      </c>
      <c r="F831" s="498"/>
      <c r="G831" s="499"/>
    </row>
    <row r="832" spans="1:7" x14ac:dyDescent="0.2">
      <c r="A832" s="304">
        <v>86</v>
      </c>
      <c r="B832" s="304">
        <f t="shared" si="31"/>
        <v>86</v>
      </c>
      <c r="C832" s="756">
        <v>1</v>
      </c>
      <c r="D832" s="305"/>
      <c r="E832" s="309">
        <f t="shared" si="32"/>
        <v>32.08032</v>
      </c>
      <c r="F832" s="498"/>
      <c r="G832" s="499"/>
    </row>
    <row r="833" spans="1:7" x14ac:dyDescent="0.2">
      <c r="A833" s="304">
        <v>87</v>
      </c>
      <c r="B833" s="304">
        <f t="shared" si="31"/>
        <v>87</v>
      </c>
      <c r="C833" s="756">
        <v>1</v>
      </c>
      <c r="D833" s="305"/>
      <c r="E833" s="309">
        <f t="shared" si="32"/>
        <v>32.450440000000008</v>
      </c>
      <c r="F833" s="498"/>
      <c r="G833" s="499"/>
    </row>
    <row r="834" spans="1:7" x14ac:dyDescent="0.2">
      <c r="A834" s="304">
        <v>88</v>
      </c>
      <c r="B834" s="304">
        <f t="shared" si="31"/>
        <v>88</v>
      </c>
      <c r="C834" s="756">
        <v>1</v>
      </c>
      <c r="D834" s="305"/>
      <c r="E834" s="309">
        <f t="shared" si="32"/>
        <v>32.82056</v>
      </c>
      <c r="F834" s="502" t="s">
        <v>5</v>
      </c>
      <c r="G834" s="499"/>
    </row>
    <row r="835" spans="1:7" x14ac:dyDescent="0.2">
      <c r="A835" s="304">
        <v>89</v>
      </c>
      <c r="B835" s="304">
        <f t="shared" si="31"/>
        <v>89</v>
      </c>
      <c r="C835" s="756">
        <v>1</v>
      </c>
      <c r="D835" s="305"/>
      <c r="E835" s="309">
        <f t="shared" si="32"/>
        <v>33.19068</v>
      </c>
      <c r="F835" s="502"/>
      <c r="G835" s="499"/>
    </row>
    <row r="836" spans="1:7" x14ac:dyDescent="0.2">
      <c r="A836" s="304">
        <v>90</v>
      </c>
      <c r="B836" s="304">
        <f t="shared" si="31"/>
        <v>90</v>
      </c>
      <c r="C836" s="756">
        <v>1</v>
      </c>
      <c r="D836" s="305"/>
      <c r="E836" s="309">
        <f t="shared" si="32"/>
        <v>33.5608</v>
      </c>
      <c r="F836" s="502"/>
      <c r="G836" s="499"/>
    </row>
    <row r="837" spans="1:7" x14ac:dyDescent="0.2">
      <c r="A837" s="304">
        <v>91</v>
      </c>
      <c r="B837" s="304">
        <f t="shared" si="31"/>
        <v>91</v>
      </c>
      <c r="C837" s="756">
        <v>1</v>
      </c>
      <c r="D837" s="305"/>
      <c r="E837" s="309">
        <f t="shared" si="32"/>
        <v>33.930920000000008</v>
      </c>
      <c r="F837" s="502" t="s">
        <v>14</v>
      </c>
      <c r="G837" s="499"/>
    </row>
    <row r="838" spans="1:7" x14ac:dyDescent="0.2">
      <c r="A838" s="304">
        <v>92</v>
      </c>
      <c r="B838" s="304">
        <f t="shared" si="31"/>
        <v>92</v>
      </c>
      <c r="C838" s="756">
        <v>1</v>
      </c>
      <c r="D838" s="305"/>
      <c r="E838" s="309">
        <f t="shared" si="32"/>
        <v>34.30104</v>
      </c>
      <c r="F838" s="502" t="s">
        <v>217</v>
      </c>
      <c r="G838" s="499"/>
    </row>
    <row r="839" spans="1:7" x14ac:dyDescent="0.2">
      <c r="A839" s="304">
        <v>93</v>
      </c>
      <c r="B839" s="304">
        <f t="shared" si="31"/>
        <v>93</v>
      </c>
      <c r="C839" s="756">
        <v>1</v>
      </c>
      <c r="D839" s="305"/>
      <c r="E839" s="309">
        <f t="shared" si="32"/>
        <v>34.67116</v>
      </c>
      <c r="F839" s="502"/>
      <c r="G839" s="499"/>
    </row>
    <row r="840" spans="1:7" x14ac:dyDescent="0.2">
      <c r="A840" s="304">
        <v>94</v>
      </c>
      <c r="B840" s="304">
        <f t="shared" si="31"/>
        <v>94</v>
      </c>
      <c r="C840" s="756">
        <v>1</v>
      </c>
      <c r="D840" s="305"/>
      <c r="E840" s="309">
        <f t="shared" si="32"/>
        <v>35.04128</v>
      </c>
      <c r="F840" s="502"/>
      <c r="G840" s="499"/>
    </row>
    <row r="841" spans="1:7" x14ac:dyDescent="0.2">
      <c r="A841" s="304">
        <v>95</v>
      </c>
      <c r="B841" s="304">
        <f t="shared" si="31"/>
        <v>95</v>
      </c>
      <c r="C841" s="756">
        <v>1</v>
      </c>
      <c r="D841" s="305"/>
      <c r="E841" s="309">
        <f t="shared" si="32"/>
        <v>35.411400000000008</v>
      </c>
      <c r="F841" s="502" t="s">
        <v>11</v>
      </c>
      <c r="G841" s="499"/>
    </row>
    <row r="842" spans="1:7" x14ac:dyDescent="0.2">
      <c r="A842" s="304">
        <v>96</v>
      </c>
      <c r="B842" s="304">
        <f t="shared" si="31"/>
        <v>96</v>
      </c>
      <c r="C842" s="756">
        <v>1</v>
      </c>
      <c r="D842" s="305"/>
      <c r="E842" s="309">
        <f t="shared" si="32"/>
        <v>35.78152</v>
      </c>
      <c r="F842" s="502"/>
      <c r="G842" s="499"/>
    </row>
    <row r="843" spans="1:7" x14ac:dyDescent="0.2">
      <c r="A843" s="304">
        <v>97</v>
      </c>
      <c r="B843" s="304">
        <f t="shared" si="31"/>
        <v>97</v>
      </c>
      <c r="C843" s="756">
        <v>1</v>
      </c>
      <c r="D843" s="305"/>
      <c r="E843" s="309">
        <f t="shared" si="32"/>
        <v>36.15164</v>
      </c>
      <c r="F843" s="502"/>
      <c r="G843" s="499"/>
    </row>
    <row r="844" spans="1:7" x14ac:dyDescent="0.2">
      <c r="A844" s="304">
        <v>98</v>
      </c>
      <c r="B844" s="304">
        <f t="shared" si="31"/>
        <v>98</v>
      </c>
      <c r="C844" s="756">
        <v>1</v>
      </c>
      <c r="D844" s="305"/>
      <c r="E844" s="309">
        <f t="shared" si="32"/>
        <v>36.52176</v>
      </c>
      <c r="F844" s="502" t="s">
        <v>219</v>
      </c>
      <c r="G844" s="499"/>
    </row>
    <row r="845" spans="1:7" x14ac:dyDescent="0.2">
      <c r="A845" s="304">
        <v>99</v>
      </c>
      <c r="B845" s="304">
        <f t="shared" si="31"/>
        <v>99</v>
      </c>
      <c r="C845" s="756">
        <v>1</v>
      </c>
      <c r="D845" s="305"/>
      <c r="E845" s="309">
        <f t="shared" si="32"/>
        <v>36.891880000000008</v>
      </c>
      <c r="F845" s="502" t="s">
        <v>220</v>
      </c>
      <c r="G845" s="499"/>
    </row>
    <row r="846" spans="1:7" x14ac:dyDescent="0.2">
      <c r="A846" s="304">
        <v>100</v>
      </c>
      <c r="B846" s="304">
        <f t="shared" si="31"/>
        <v>100</v>
      </c>
      <c r="C846" s="756">
        <v>1</v>
      </c>
      <c r="D846" s="305"/>
      <c r="E846" s="309">
        <f t="shared" si="32"/>
        <v>37.262</v>
      </c>
      <c r="F846" s="503"/>
      <c r="G846" s="499"/>
    </row>
    <row r="847" spans="1:7" x14ac:dyDescent="0.2">
      <c r="A847" s="424" t="s">
        <v>207</v>
      </c>
      <c r="B847" s="423">
        <f>SUM(B747:B846)</f>
        <v>5050</v>
      </c>
      <c r="C847" s="311"/>
      <c r="D847" s="311"/>
      <c r="E847" s="312">
        <f>SUM(E747:E846)</f>
        <v>1879.0469580000001</v>
      </c>
    </row>
    <row r="852" spans="1:9" ht="15" x14ac:dyDescent="0.35">
      <c r="A852" s="757" t="s">
        <v>321</v>
      </c>
      <c r="B852" s="76"/>
      <c r="C852" s="76"/>
      <c r="D852" s="76"/>
      <c r="E852" s="76"/>
      <c r="F852" s="76"/>
      <c r="G852" s="76"/>
      <c r="H852" s="76"/>
      <c r="I852" s="76"/>
    </row>
    <row r="853" spans="1:9" x14ac:dyDescent="0.2">
      <c r="A853" s="562" t="s">
        <v>324</v>
      </c>
      <c r="B853" s="563"/>
      <c r="C853" s="563"/>
      <c r="D853" s="563"/>
      <c r="E853" s="76"/>
      <c r="F853" s="76"/>
      <c r="G853" s="76"/>
      <c r="H853" s="76"/>
      <c r="I853" s="76"/>
    </row>
    <row r="854" spans="1:9" x14ac:dyDescent="0.2">
      <c r="A854" s="562" t="s">
        <v>202</v>
      </c>
      <c r="B854" s="563"/>
      <c r="C854" s="563"/>
      <c r="D854" s="563"/>
      <c r="E854" s="564"/>
      <c r="F854" s="76"/>
      <c r="G854" s="76"/>
      <c r="H854" s="76"/>
      <c r="I854" s="76"/>
    </row>
    <row r="855" spans="1:9" x14ac:dyDescent="0.2">
      <c r="A855" s="1119" t="s">
        <v>3</v>
      </c>
      <c r="B855" s="1120"/>
      <c r="C855" s="1123" t="s">
        <v>319</v>
      </c>
      <c r="D855" s="1123"/>
      <c r="E855" s="564"/>
      <c r="F855" s="76"/>
      <c r="G855" s="76"/>
      <c r="H855" s="76"/>
      <c r="I855" s="76"/>
    </row>
    <row r="856" spans="1:9" x14ac:dyDescent="0.2">
      <c r="A856" s="1121"/>
      <c r="B856" s="1122"/>
      <c r="C856" s="304" t="s">
        <v>135</v>
      </c>
      <c r="D856" s="304" t="s">
        <v>136</v>
      </c>
      <c r="E856" s="564"/>
      <c r="F856" s="76"/>
      <c r="G856" s="76"/>
      <c r="H856" s="76"/>
      <c r="I856" s="76"/>
    </row>
    <row r="857" spans="1:9" x14ac:dyDescent="0.2">
      <c r="A857" s="644" t="s">
        <v>137</v>
      </c>
      <c r="B857" s="645"/>
      <c r="C857" s="646">
        <v>3.8914</v>
      </c>
      <c r="D857" s="647"/>
      <c r="E857" s="564"/>
      <c r="F857" s="76"/>
      <c r="G857" s="76"/>
      <c r="H857" s="76"/>
      <c r="I857" s="76"/>
    </row>
    <row r="858" spans="1:9" x14ac:dyDescent="0.2">
      <c r="A858" s="648" t="s">
        <v>138</v>
      </c>
      <c r="B858" s="296"/>
      <c r="C858" s="649">
        <v>0.89300000000000002</v>
      </c>
      <c r="D858" s="650"/>
      <c r="E858" s="564"/>
      <c r="F858" s="76"/>
      <c r="G858" s="76"/>
      <c r="H858" s="76"/>
      <c r="I858" s="76"/>
    </row>
    <row r="859" spans="1:9" x14ac:dyDescent="0.2">
      <c r="A859" s="648" t="s">
        <v>139</v>
      </c>
      <c r="B859" s="296"/>
      <c r="C859" s="651">
        <v>0.57389999999999997</v>
      </c>
      <c r="D859" s="650"/>
      <c r="E859" s="564"/>
      <c r="F859" s="76"/>
      <c r="G859" s="76"/>
      <c r="H859" s="76"/>
      <c r="I859" s="76"/>
    </row>
    <row r="860" spans="1:9" x14ac:dyDescent="0.2">
      <c r="A860" s="648" t="s">
        <v>140</v>
      </c>
      <c r="B860" s="296"/>
      <c r="C860" s="652">
        <v>0.84489999999999998</v>
      </c>
      <c r="D860" s="650"/>
      <c r="E860" s="564"/>
      <c r="F860" s="76"/>
      <c r="G860" s="76"/>
      <c r="H860" s="76"/>
      <c r="I860" s="76"/>
    </row>
    <row r="861" spans="1:9" x14ac:dyDescent="0.2">
      <c r="A861" s="648" t="s">
        <v>141</v>
      </c>
      <c r="B861" s="296"/>
      <c r="C861" s="652">
        <v>0.7732</v>
      </c>
      <c r="D861" s="650"/>
      <c r="E861" s="564"/>
      <c r="F861" s="76"/>
      <c r="G861" s="76"/>
      <c r="H861" s="76"/>
      <c r="I861" s="76"/>
    </row>
    <row r="862" spans="1:9" x14ac:dyDescent="0.2">
      <c r="A862" s="648" t="s">
        <v>142</v>
      </c>
      <c r="B862" s="296"/>
      <c r="C862" s="653">
        <v>0.45689999999999997</v>
      </c>
      <c r="D862" s="654">
        <v>5</v>
      </c>
      <c r="E862" s="564"/>
      <c r="F862" s="76"/>
      <c r="G862" s="76"/>
      <c r="H862" s="76"/>
      <c r="I862" s="76"/>
    </row>
    <row r="863" spans="1:9" x14ac:dyDescent="0.2">
      <c r="A863" s="655" t="s">
        <v>2</v>
      </c>
      <c r="B863" s="656"/>
      <c r="C863" s="657">
        <f>SUM(C857:C862)</f>
        <v>7.4333</v>
      </c>
      <c r="D863" s="658">
        <f>SUM(D857:D862)</f>
        <v>5</v>
      </c>
      <c r="E863" s="77"/>
      <c r="F863" s="77"/>
      <c r="G863" s="77"/>
      <c r="H863" s="76"/>
      <c r="I863" s="76"/>
    </row>
    <row r="864" spans="1:9" x14ac:dyDescent="0.2">
      <c r="A864" s="563"/>
      <c r="B864" s="563"/>
      <c r="C864" s="563"/>
      <c r="D864" s="563"/>
      <c r="E864" s="76"/>
      <c r="F864" s="76"/>
      <c r="G864" s="76"/>
      <c r="H864" s="76"/>
      <c r="I864" s="76"/>
    </row>
    <row r="865" spans="1:9" ht="34.5" customHeight="1" x14ac:dyDescent="0.2">
      <c r="A865" s="556" t="s">
        <v>325</v>
      </c>
      <c r="B865" s="758" t="s">
        <v>68</v>
      </c>
      <c r="C865" s="556" t="s">
        <v>204</v>
      </c>
      <c r="D865" s="556" t="s">
        <v>205</v>
      </c>
      <c r="E865" s="559" t="s">
        <v>206</v>
      </c>
      <c r="F865" s="76"/>
      <c r="G865" s="556" t="s">
        <v>239</v>
      </c>
      <c r="H865" s="560" t="str">
        <f>D865</f>
        <v>Lifeline Discount Rate</v>
      </c>
      <c r="I865" s="561" t="str">
        <f>E865</f>
        <v>SENIOR CITIZEN DISCOUNT (Php)</v>
      </c>
    </row>
    <row r="866" spans="1:9" x14ac:dyDescent="0.2">
      <c r="A866" s="304">
        <v>1</v>
      </c>
      <c r="B866" s="304">
        <f>A866*C866</f>
        <v>1</v>
      </c>
      <c r="C866" s="756">
        <v>1</v>
      </c>
      <c r="D866" s="308">
        <v>0.25</v>
      </c>
      <c r="E866" s="309">
        <f>(($C$863*B866)+($D$863*C866))*(1-D866)*5%</f>
        <v>0.46624874999999993</v>
      </c>
      <c r="F866" s="498"/>
      <c r="G866" s="553">
        <f>A918</f>
        <v>53</v>
      </c>
      <c r="H866" s="660"/>
      <c r="I866" s="661">
        <f>E918</f>
        <v>19.948245</v>
      </c>
    </row>
    <row r="867" spans="1:9" x14ac:dyDescent="0.2">
      <c r="A867" s="304">
        <v>2</v>
      </c>
      <c r="B867" s="304">
        <f t="shared" ref="B867:B930" si="33">A867*C867</f>
        <v>2</v>
      </c>
      <c r="C867" s="756">
        <v>1</v>
      </c>
      <c r="D867" s="308">
        <v>0.25</v>
      </c>
      <c r="E867" s="309">
        <f>(($C$863*B867)+($D$863*C867))*(1-D867)*5%</f>
        <v>0.74499749999999998</v>
      </c>
      <c r="F867" s="498"/>
      <c r="G867" s="304">
        <f t="shared" ref="G867:G913" si="34">A919</f>
        <v>54</v>
      </c>
      <c r="H867" s="308"/>
      <c r="I867" s="309">
        <f t="shared" ref="I867:I913" si="35">E919</f>
        <v>20.31991</v>
      </c>
    </row>
    <row r="868" spans="1:9" x14ac:dyDescent="0.2">
      <c r="A868" s="304">
        <v>3</v>
      </c>
      <c r="B868" s="304">
        <f t="shared" si="33"/>
        <v>3</v>
      </c>
      <c r="C868" s="756">
        <v>1</v>
      </c>
      <c r="D868" s="308">
        <v>0.25</v>
      </c>
      <c r="E868" s="309">
        <f t="shared" ref="E868:E931" si="36">(($C$863*B868)+($D$863*C868))*(1-D868)*5%</f>
        <v>1.0237462500000001</v>
      </c>
      <c r="F868" s="498"/>
      <c r="G868" s="304">
        <f t="shared" si="34"/>
        <v>55</v>
      </c>
      <c r="H868" s="308"/>
      <c r="I868" s="309">
        <f t="shared" si="35"/>
        <v>20.691575</v>
      </c>
    </row>
    <row r="869" spans="1:9" x14ac:dyDescent="0.2">
      <c r="A869" s="304">
        <v>4</v>
      </c>
      <c r="B869" s="304">
        <f t="shared" si="33"/>
        <v>4</v>
      </c>
      <c r="C869" s="756">
        <v>1</v>
      </c>
      <c r="D869" s="308">
        <v>0.25</v>
      </c>
      <c r="E869" s="309">
        <f t="shared" si="36"/>
        <v>1.302495</v>
      </c>
      <c r="F869" s="498"/>
      <c r="G869" s="304">
        <f t="shared" si="34"/>
        <v>56</v>
      </c>
      <c r="H869" s="308"/>
      <c r="I869" s="309">
        <f t="shared" si="35"/>
        <v>21.06324</v>
      </c>
    </row>
    <row r="870" spans="1:9" x14ac:dyDescent="0.2">
      <c r="A870" s="304">
        <v>5</v>
      </c>
      <c r="B870" s="304">
        <f t="shared" si="33"/>
        <v>5</v>
      </c>
      <c r="C870" s="756">
        <v>1</v>
      </c>
      <c r="D870" s="308">
        <v>0.25</v>
      </c>
      <c r="E870" s="309">
        <f t="shared" si="36"/>
        <v>1.5812437500000001</v>
      </c>
      <c r="F870" s="498"/>
      <c r="G870" s="304">
        <f t="shared" si="34"/>
        <v>57</v>
      </c>
      <c r="H870" s="308"/>
      <c r="I870" s="309">
        <f t="shared" si="35"/>
        <v>21.434905000000001</v>
      </c>
    </row>
    <row r="871" spans="1:9" x14ac:dyDescent="0.2">
      <c r="A871" s="304">
        <v>6</v>
      </c>
      <c r="B871" s="304">
        <f t="shared" si="33"/>
        <v>6</v>
      </c>
      <c r="C871" s="756">
        <v>1</v>
      </c>
      <c r="D871" s="308">
        <v>0.25</v>
      </c>
      <c r="E871" s="309">
        <f t="shared" si="36"/>
        <v>1.8599924999999999</v>
      </c>
      <c r="F871" s="498"/>
      <c r="G871" s="304">
        <f t="shared" si="34"/>
        <v>58</v>
      </c>
      <c r="H871" s="308"/>
      <c r="I871" s="309">
        <f t="shared" si="35"/>
        <v>21.806570000000001</v>
      </c>
    </row>
    <row r="872" spans="1:9" x14ac:dyDescent="0.2">
      <c r="A872" s="304">
        <v>7</v>
      </c>
      <c r="B872" s="304">
        <f t="shared" si="33"/>
        <v>7</v>
      </c>
      <c r="C872" s="756">
        <v>1</v>
      </c>
      <c r="D872" s="308">
        <v>0.25</v>
      </c>
      <c r="E872" s="309">
        <f t="shared" si="36"/>
        <v>2.1387412500000003</v>
      </c>
      <c r="F872" s="498"/>
      <c r="G872" s="304">
        <f t="shared" si="34"/>
        <v>59</v>
      </c>
      <c r="H872" s="308"/>
      <c r="I872" s="309">
        <f t="shared" si="35"/>
        <v>22.178235000000001</v>
      </c>
    </row>
    <row r="873" spans="1:9" x14ac:dyDescent="0.2">
      <c r="A873" s="304">
        <v>8</v>
      </c>
      <c r="B873" s="304">
        <f t="shared" si="33"/>
        <v>8</v>
      </c>
      <c r="C873" s="756">
        <v>1</v>
      </c>
      <c r="D873" s="308">
        <v>0.25</v>
      </c>
      <c r="E873" s="309">
        <f t="shared" si="36"/>
        <v>2.4174899999999999</v>
      </c>
      <c r="F873" s="498"/>
      <c r="G873" s="304">
        <f t="shared" si="34"/>
        <v>60</v>
      </c>
      <c r="H873" s="308"/>
      <c r="I873" s="309">
        <f t="shared" si="35"/>
        <v>22.549900000000001</v>
      </c>
    </row>
    <row r="874" spans="1:9" x14ac:dyDescent="0.2">
      <c r="A874" s="304">
        <v>9</v>
      </c>
      <c r="B874" s="304">
        <f t="shared" si="33"/>
        <v>9</v>
      </c>
      <c r="C874" s="756">
        <v>1</v>
      </c>
      <c r="D874" s="308">
        <v>0.25</v>
      </c>
      <c r="E874" s="309">
        <f t="shared" si="36"/>
        <v>2.69623875</v>
      </c>
      <c r="F874" s="498"/>
      <c r="G874" s="304">
        <f t="shared" si="34"/>
        <v>61</v>
      </c>
      <c r="H874" s="308"/>
      <c r="I874" s="309">
        <f t="shared" si="35"/>
        <v>22.921565000000001</v>
      </c>
    </row>
    <row r="875" spans="1:9" x14ac:dyDescent="0.2">
      <c r="A875" s="304">
        <v>10</v>
      </c>
      <c r="B875" s="304">
        <f t="shared" si="33"/>
        <v>10</v>
      </c>
      <c r="C875" s="756">
        <v>1</v>
      </c>
      <c r="D875" s="308">
        <v>0.25</v>
      </c>
      <c r="E875" s="309">
        <f t="shared" si="36"/>
        <v>2.9749875000000001</v>
      </c>
      <c r="F875" s="498"/>
      <c r="G875" s="304">
        <f t="shared" si="34"/>
        <v>62</v>
      </c>
      <c r="H875" s="308"/>
      <c r="I875" s="309">
        <f t="shared" si="35"/>
        <v>23.293230000000001</v>
      </c>
    </row>
    <row r="876" spans="1:9" x14ac:dyDescent="0.2">
      <c r="A876" s="304">
        <v>11</v>
      </c>
      <c r="B876" s="304">
        <f t="shared" si="33"/>
        <v>11</v>
      </c>
      <c r="C876" s="756">
        <v>1</v>
      </c>
      <c r="D876" s="308">
        <v>0.25</v>
      </c>
      <c r="E876" s="309">
        <f t="shared" si="36"/>
        <v>3.2537362500000002</v>
      </c>
      <c r="F876" s="498"/>
      <c r="G876" s="304">
        <f t="shared" si="34"/>
        <v>63</v>
      </c>
      <c r="H876" s="308"/>
      <c r="I876" s="309">
        <f t="shared" si="35"/>
        <v>23.664895000000001</v>
      </c>
    </row>
    <row r="877" spans="1:9" x14ac:dyDescent="0.2">
      <c r="A877" s="304">
        <v>12</v>
      </c>
      <c r="B877" s="304">
        <f t="shared" si="33"/>
        <v>12</v>
      </c>
      <c r="C877" s="756">
        <v>1</v>
      </c>
      <c r="D877" s="308">
        <v>0.25</v>
      </c>
      <c r="E877" s="309">
        <f t="shared" si="36"/>
        <v>3.5324849999999999</v>
      </c>
      <c r="F877" s="498"/>
      <c r="G877" s="304">
        <f t="shared" si="34"/>
        <v>64</v>
      </c>
      <c r="H877" s="308"/>
      <c r="I877" s="309">
        <f t="shared" si="35"/>
        <v>24.036560000000001</v>
      </c>
    </row>
    <row r="878" spans="1:9" x14ac:dyDescent="0.2">
      <c r="A878" s="304">
        <v>13</v>
      </c>
      <c r="B878" s="304">
        <f t="shared" si="33"/>
        <v>13</v>
      </c>
      <c r="C878" s="756">
        <v>1</v>
      </c>
      <c r="D878" s="308">
        <v>0.25</v>
      </c>
      <c r="E878" s="309">
        <f t="shared" si="36"/>
        <v>3.8112337500000004</v>
      </c>
      <c r="F878" s="498"/>
      <c r="G878" s="304">
        <f t="shared" si="34"/>
        <v>65</v>
      </c>
      <c r="H878" s="308"/>
      <c r="I878" s="309">
        <f t="shared" si="35"/>
        <v>24.408225000000002</v>
      </c>
    </row>
    <row r="879" spans="1:9" x14ac:dyDescent="0.2">
      <c r="A879" s="304">
        <v>14</v>
      </c>
      <c r="B879" s="304">
        <f t="shared" si="33"/>
        <v>14</v>
      </c>
      <c r="C879" s="756">
        <v>1</v>
      </c>
      <c r="D879" s="308">
        <v>0.25</v>
      </c>
      <c r="E879" s="309">
        <f t="shared" si="36"/>
        <v>4.0899825000000005</v>
      </c>
      <c r="F879" s="498"/>
      <c r="G879" s="304">
        <f t="shared" si="34"/>
        <v>66</v>
      </c>
      <c r="H879" s="308"/>
      <c r="I879" s="309">
        <f t="shared" si="35"/>
        <v>24.779890000000002</v>
      </c>
    </row>
    <row r="880" spans="1:9" x14ac:dyDescent="0.2">
      <c r="A880" s="304">
        <v>15</v>
      </c>
      <c r="B880" s="304">
        <f t="shared" si="33"/>
        <v>15</v>
      </c>
      <c r="C880" s="756">
        <v>1</v>
      </c>
      <c r="D880" s="308">
        <v>0.25</v>
      </c>
      <c r="E880" s="309">
        <f t="shared" si="36"/>
        <v>4.3687312499999997</v>
      </c>
      <c r="F880" s="498"/>
      <c r="G880" s="304">
        <f t="shared" si="34"/>
        <v>67</v>
      </c>
      <c r="H880" s="308"/>
      <c r="I880" s="309">
        <f t="shared" si="35"/>
        <v>25.151555000000002</v>
      </c>
    </row>
    <row r="881" spans="1:9" x14ac:dyDescent="0.2">
      <c r="A881" s="304">
        <v>16</v>
      </c>
      <c r="B881" s="304">
        <f t="shared" si="33"/>
        <v>16</v>
      </c>
      <c r="C881" s="756">
        <v>1</v>
      </c>
      <c r="D881" s="308">
        <v>0.15</v>
      </c>
      <c r="E881" s="309">
        <f t="shared" si="36"/>
        <v>5.267144</v>
      </c>
      <c r="F881" s="498"/>
      <c r="G881" s="304">
        <f t="shared" si="34"/>
        <v>68</v>
      </c>
      <c r="H881" s="308"/>
      <c r="I881" s="309">
        <f t="shared" si="35"/>
        <v>25.523220000000002</v>
      </c>
    </row>
    <row r="882" spans="1:9" x14ac:dyDescent="0.2">
      <c r="A882" s="304">
        <v>17</v>
      </c>
      <c r="B882" s="304">
        <f t="shared" si="33"/>
        <v>17</v>
      </c>
      <c r="C882" s="756">
        <v>1</v>
      </c>
      <c r="D882" s="308">
        <v>0.1</v>
      </c>
      <c r="E882" s="309">
        <f t="shared" si="36"/>
        <v>5.9114745000000006</v>
      </c>
      <c r="F882" s="498"/>
      <c r="G882" s="304">
        <f t="shared" si="34"/>
        <v>69</v>
      </c>
      <c r="H882" s="308"/>
      <c r="I882" s="309">
        <f t="shared" si="35"/>
        <v>25.894885000000002</v>
      </c>
    </row>
    <row r="883" spans="1:9" x14ac:dyDescent="0.2">
      <c r="A883" s="304">
        <v>18</v>
      </c>
      <c r="B883" s="304">
        <f t="shared" si="33"/>
        <v>18</v>
      </c>
      <c r="C883" s="756">
        <v>1</v>
      </c>
      <c r="D883" s="308">
        <v>0.1</v>
      </c>
      <c r="E883" s="309">
        <f t="shared" si="36"/>
        <v>6.2459730000000002</v>
      </c>
      <c r="F883" s="498"/>
      <c r="G883" s="304">
        <f t="shared" si="34"/>
        <v>70</v>
      </c>
      <c r="H883" s="308"/>
      <c r="I883" s="309">
        <f t="shared" si="35"/>
        <v>26.266550000000002</v>
      </c>
    </row>
    <row r="884" spans="1:9" x14ac:dyDescent="0.2">
      <c r="A884" s="304">
        <v>19</v>
      </c>
      <c r="B884" s="304">
        <f t="shared" si="33"/>
        <v>19</v>
      </c>
      <c r="C884" s="756">
        <v>1</v>
      </c>
      <c r="D884" s="308">
        <v>0.05</v>
      </c>
      <c r="E884" s="309">
        <f t="shared" si="36"/>
        <v>6.9460532500000003</v>
      </c>
      <c r="F884" s="498"/>
      <c r="G884" s="304">
        <f t="shared" si="34"/>
        <v>71</v>
      </c>
      <c r="H884" s="308"/>
      <c r="I884" s="309">
        <f t="shared" si="35"/>
        <v>26.638215000000002</v>
      </c>
    </row>
    <row r="885" spans="1:9" x14ac:dyDescent="0.2">
      <c r="A885" s="304">
        <v>20</v>
      </c>
      <c r="B885" s="304">
        <f t="shared" si="33"/>
        <v>20</v>
      </c>
      <c r="C885" s="756">
        <v>1</v>
      </c>
      <c r="D885" s="308">
        <v>0.05</v>
      </c>
      <c r="E885" s="309">
        <f t="shared" si="36"/>
        <v>7.2991349999999997</v>
      </c>
      <c r="F885" s="498"/>
      <c r="G885" s="304">
        <f t="shared" si="34"/>
        <v>72</v>
      </c>
      <c r="H885" s="308"/>
      <c r="I885" s="309">
        <f t="shared" si="35"/>
        <v>27.009879999999999</v>
      </c>
    </row>
    <row r="886" spans="1:9" x14ac:dyDescent="0.2">
      <c r="A886" s="304">
        <v>21</v>
      </c>
      <c r="B886" s="304">
        <f t="shared" si="33"/>
        <v>21</v>
      </c>
      <c r="C886" s="756">
        <v>1</v>
      </c>
      <c r="D886" s="310"/>
      <c r="E886" s="309">
        <f t="shared" si="36"/>
        <v>8.054965000000001</v>
      </c>
      <c r="F886" s="498"/>
      <c r="G886" s="304">
        <f t="shared" si="34"/>
        <v>73</v>
      </c>
      <c r="H886" s="308"/>
      <c r="I886" s="309">
        <f t="shared" si="35"/>
        <v>27.381545000000003</v>
      </c>
    </row>
    <row r="887" spans="1:9" x14ac:dyDescent="0.2">
      <c r="A887" s="304">
        <v>22</v>
      </c>
      <c r="B887" s="304">
        <f t="shared" si="33"/>
        <v>22</v>
      </c>
      <c r="C887" s="756">
        <v>1</v>
      </c>
      <c r="D887" s="305"/>
      <c r="E887" s="309">
        <f t="shared" si="36"/>
        <v>8.4266300000000012</v>
      </c>
      <c r="F887" s="498"/>
      <c r="G887" s="304">
        <f t="shared" si="34"/>
        <v>74</v>
      </c>
      <c r="H887" s="308"/>
      <c r="I887" s="309">
        <f t="shared" si="35"/>
        <v>27.753210000000003</v>
      </c>
    </row>
    <row r="888" spans="1:9" x14ac:dyDescent="0.2">
      <c r="A888" s="304">
        <v>23</v>
      </c>
      <c r="B888" s="304">
        <f t="shared" si="33"/>
        <v>23</v>
      </c>
      <c r="C888" s="756">
        <v>1</v>
      </c>
      <c r="D888" s="305"/>
      <c r="E888" s="309">
        <f t="shared" si="36"/>
        <v>8.7982950000000013</v>
      </c>
      <c r="F888" s="498"/>
      <c r="G888" s="304">
        <f t="shared" si="34"/>
        <v>75</v>
      </c>
      <c r="H888" s="308"/>
      <c r="I888" s="309">
        <f t="shared" si="35"/>
        <v>28.124874999999999</v>
      </c>
    </row>
    <row r="889" spans="1:9" x14ac:dyDescent="0.2">
      <c r="A889" s="304">
        <v>24</v>
      </c>
      <c r="B889" s="304">
        <f t="shared" si="33"/>
        <v>24</v>
      </c>
      <c r="C889" s="756">
        <v>1</v>
      </c>
      <c r="D889" s="305"/>
      <c r="E889" s="309">
        <f t="shared" si="36"/>
        <v>9.1699600000000014</v>
      </c>
      <c r="F889" s="498"/>
      <c r="G889" s="304">
        <f t="shared" si="34"/>
        <v>76</v>
      </c>
      <c r="H889" s="308"/>
      <c r="I889" s="309">
        <f t="shared" si="35"/>
        <v>28.49654</v>
      </c>
    </row>
    <row r="890" spans="1:9" x14ac:dyDescent="0.2">
      <c r="A890" s="304">
        <v>25</v>
      </c>
      <c r="B890" s="304">
        <f t="shared" si="33"/>
        <v>25</v>
      </c>
      <c r="C890" s="756">
        <v>1</v>
      </c>
      <c r="D890" s="305"/>
      <c r="E890" s="309">
        <f t="shared" si="36"/>
        <v>9.5416250000000016</v>
      </c>
      <c r="F890" s="498"/>
      <c r="G890" s="304">
        <f t="shared" si="34"/>
        <v>77</v>
      </c>
      <c r="H890" s="308"/>
      <c r="I890" s="309">
        <f t="shared" si="35"/>
        <v>28.868205000000003</v>
      </c>
    </row>
    <row r="891" spans="1:9" x14ac:dyDescent="0.2">
      <c r="A891" s="304">
        <v>26</v>
      </c>
      <c r="B891" s="304">
        <f t="shared" si="33"/>
        <v>26</v>
      </c>
      <c r="C891" s="756">
        <v>1</v>
      </c>
      <c r="D891" s="305"/>
      <c r="E891" s="309">
        <f t="shared" si="36"/>
        <v>9.9132900000000017</v>
      </c>
      <c r="F891" s="498"/>
      <c r="G891" s="304">
        <f t="shared" si="34"/>
        <v>78</v>
      </c>
      <c r="H891" s="308"/>
      <c r="I891" s="309">
        <f t="shared" si="35"/>
        <v>29.239870000000003</v>
      </c>
    </row>
    <row r="892" spans="1:9" x14ac:dyDescent="0.2">
      <c r="A892" s="304">
        <v>27</v>
      </c>
      <c r="B892" s="304">
        <f t="shared" si="33"/>
        <v>27</v>
      </c>
      <c r="C892" s="756">
        <v>1</v>
      </c>
      <c r="D892" s="305"/>
      <c r="E892" s="309">
        <f t="shared" si="36"/>
        <v>10.284955</v>
      </c>
      <c r="F892" s="498"/>
      <c r="G892" s="304">
        <f t="shared" si="34"/>
        <v>79</v>
      </c>
      <c r="H892" s="308"/>
      <c r="I892" s="309">
        <f t="shared" si="35"/>
        <v>29.611535</v>
      </c>
    </row>
    <row r="893" spans="1:9" x14ac:dyDescent="0.2">
      <c r="A893" s="304">
        <v>28</v>
      </c>
      <c r="B893" s="304">
        <f t="shared" si="33"/>
        <v>28</v>
      </c>
      <c r="C893" s="756">
        <v>1</v>
      </c>
      <c r="D893" s="305"/>
      <c r="E893" s="309">
        <f t="shared" si="36"/>
        <v>10.65662</v>
      </c>
      <c r="F893" s="498"/>
      <c r="G893" s="304">
        <f t="shared" si="34"/>
        <v>80</v>
      </c>
      <c r="H893" s="308"/>
      <c r="I893" s="309">
        <f t="shared" si="35"/>
        <v>29.9832</v>
      </c>
    </row>
    <row r="894" spans="1:9" x14ac:dyDescent="0.2">
      <c r="A894" s="304">
        <v>29</v>
      </c>
      <c r="B894" s="304">
        <f t="shared" si="33"/>
        <v>29</v>
      </c>
      <c r="C894" s="756">
        <v>1</v>
      </c>
      <c r="D894" s="305"/>
      <c r="E894" s="309">
        <f t="shared" si="36"/>
        <v>11.028285</v>
      </c>
      <c r="F894" s="498"/>
      <c r="G894" s="304">
        <f t="shared" si="34"/>
        <v>81</v>
      </c>
      <c r="H894" s="308"/>
      <c r="I894" s="309">
        <f t="shared" si="35"/>
        <v>30.354865000000004</v>
      </c>
    </row>
    <row r="895" spans="1:9" x14ac:dyDescent="0.2">
      <c r="A895" s="304">
        <v>30</v>
      </c>
      <c r="B895" s="304">
        <f t="shared" si="33"/>
        <v>30</v>
      </c>
      <c r="C895" s="756">
        <v>1</v>
      </c>
      <c r="D895" s="305"/>
      <c r="E895" s="309">
        <f t="shared" si="36"/>
        <v>11.39995</v>
      </c>
      <c r="F895" s="498"/>
      <c r="G895" s="304">
        <f t="shared" si="34"/>
        <v>82</v>
      </c>
      <c r="H895" s="308"/>
      <c r="I895" s="309">
        <f t="shared" si="35"/>
        <v>30.726530000000004</v>
      </c>
    </row>
    <row r="896" spans="1:9" x14ac:dyDescent="0.2">
      <c r="A896" s="304">
        <v>31</v>
      </c>
      <c r="B896" s="304">
        <f t="shared" si="33"/>
        <v>31</v>
      </c>
      <c r="C896" s="756">
        <v>1</v>
      </c>
      <c r="D896" s="305"/>
      <c r="E896" s="309">
        <f t="shared" si="36"/>
        <v>11.771615000000001</v>
      </c>
      <c r="F896" s="498"/>
      <c r="G896" s="304">
        <f t="shared" si="34"/>
        <v>83</v>
      </c>
      <c r="H896" s="308"/>
      <c r="I896" s="309">
        <f t="shared" si="35"/>
        <v>31.098195</v>
      </c>
    </row>
    <row r="897" spans="1:9" x14ac:dyDescent="0.2">
      <c r="A897" s="304">
        <v>32</v>
      </c>
      <c r="B897" s="304">
        <f t="shared" si="33"/>
        <v>32</v>
      </c>
      <c r="C897" s="756">
        <v>1</v>
      </c>
      <c r="D897" s="305"/>
      <c r="E897" s="309">
        <f t="shared" si="36"/>
        <v>12.143280000000001</v>
      </c>
      <c r="F897" s="498"/>
      <c r="G897" s="304">
        <f t="shared" si="34"/>
        <v>84</v>
      </c>
      <c r="H897" s="308"/>
      <c r="I897" s="309">
        <f t="shared" si="35"/>
        <v>31.469860000000001</v>
      </c>
    </row>
    <row r="898" spans="1:9" x14ac:dyDescent="0.2">
      <c r="A898" s="304">
        <v>33</v>
      </c>
      <c r="B898" s="304">
        <f t="shared" si="33"/>
        <v>33</v>
      </c>
      <c r="C898" s="756">
        <v>1</v>
      </c>
      <c r="D898" s="305"/>
      <c r="E898" s="309">
        <f t="shared" si="36"/>
        <v>12.514945000000001</v>
      </c>
      <c r="F898" s="498"/>
      <c r="G898" s="304">
        <f t="shared" si="34"/>
        <v>85</v>
      </c>
      <c r="H898" s="308"/>
      <c r="I898" s="309">
        <f t="shared" si="35"/>
        <v>31.841525000000004</v>
      </c>
    </row>
    <row r="899" spans="1:9" x14ac:dyDescent="0.2">
      <c r="A899" s="304">
        <v>34</v>
      </c>
      <c r="B899" s="304">
        <f t="shared" si="33"/>
        <v>34</v>
      </c>
      <c r="C899" s="756">
        <v>1</v>
      </c>
      <c r="D899" s="305"/>
      <c r="E899" s="309">
        <f t="shared" si="36"/>
        <v>12.886610000000003</v>
      </c>
      <c r="F899" s="498"/>
      <c r="G899" s="304">
        <f t="shared" si="34"/>
        <v>86</v>
      </c>
      <c r="H899" s="308"/>
      <c r="I899" s="309">
        <f t="shared" si="35"/>
        <v>32.213189999999997</v>
      </c>
    </row>
    <row r="900" spans="1:9" x14ac:dyDescent="0.2">
      <c r="A900" s="304">
        <v>35</v>
      </c>
      <c r="B900" s="304">
        <f t="shared" si="33"/>
        <v>35</v>
      </c>
      <c r="C900" s="756">
        <v>1</v>
      </c>
      <c r="D900" s="305"/>
      <c r="E900" s="309">
        <f t="shared" si="36"/>
        <v>13.258275000000001</v>
      </c>
      <c r="F900" s="498"/>
      <c r="G900" s="304">
        <f t="shared" si="34"/>
        <v>87</v>
      </c>
      <c r="H900" s="308"/>
      <c r="I900" s="309">
        <f t="shared" si="35"/>
        <v>32.584854999999997</v>
      </c>
    </row>
    <row r="901" spans="1:9" x14ac:dyDescent="0.2">
      <c r="A901" s="304">
        <v>36</v>
      </c>
      <c r="B901" s="304">
        <f t="shared" si="33"/>
        <v>36</v>
      </c>
      <c r="C901" s="756">
        <v>1</v>
      </c>
      <c r="D901" s="305"/>
      <c r="E901" s="309">
        <f t="shared" si="36"/>
        <v>13.62994</v>
      </c>
      <c r="F901" s="498"/>
      <c r="G901" s="304">
        <f t="shared" si="34"/>
        <v>88</v>
      </c>
      <c r="H901" s="308"/>
      <c r="I901" s="309">
        <f t="shared" si="35"/>
        <v>32.956520000000005</v>
      </c>
    </row>
    <row r="902" spans="1:9" x14ac:dyDescent="0.2">
      <c r="A902" s="304">
        <v>37</v>
      </c>
      <c r="B902" s="304">
        <f t="shared" si="33"/>
        <v>37</v>
      </c>
      <c r="C902" s="756">
        <v>1</v>
      </c>
      <c r="D902" s="305"/>
      <c r="E902" s="309">
        <f t="shared" si="36"/>
        <v>14.001605000000001</v>
      </c>
      <c r="F902" s="498"/>
      <c r="G902" s="304">
        <f t="shared" si="34"/>
        <v>89</v>
      </c>
      <c r="H902" s="308"/>
      <c r="I902" s="309">
        <f t="shared" si="35"/>
        <v>33.328185000000005</v>
      </c>
    </row>
    <row r="903" spans="1:9" x14ac:dyDescent="0.2">
      <c r="A903" s="304">
        <v>38</v>
      </c>
      <c r="B903" s="304">
        <f t="shared" si="33"/>
        <v>38</v>
      </c>
      <c r="C903" s="756">
        <v>1</v>
      </c>
      <c r="D903" s="305"/>
      <c r="E903" s="309">
        <f t="shared" si="36"/>
        <v>14.37327</v>
      </c>
      <c r="F903" s="498"/>
      <c r="G903" s="304">
        <f t="shared" si="34"/>
        <v>90</v>
      </c>
      <c r="H903" s="308"/>
      <c r="I903" s="309">
        <f t="shared" si="35"/>
        <v>33.699849999999998</v>
      </c>
    </row>
    <row r="904" spans="1:9" x14ac:dyDescent="0.2">
      <c r="A904" s="304">
        <v>39</v>
      </c>
      <c r="B904" s="304">
        <f t="shared" si="33"/>
        <v>39</v>
      </c>
      <c r="C904" s="756">
        <v>1</v>
      </c>
      <c r="D904" s="305"/>
      <c r="E904" s="309">
        <f t="shared" si="36"/>
        <v>14.744935000000002</v>
      </c>
      <c r="F904" s="498"/>
      <c r="G904" s="304">
        <f t="shared" si="34"/>
        <v>91</v>
      </c>
      <c r="H904" s="308"/>
      <c r="I904" s="309">
        <f t="shared" si="35"/>
        <v>34.071514999999998</v>
      </c>
    </row>
    <row r="905" spans="1:9" x14ac:dyDescent="0.2">
      <c r="A905" s="304">
        <v>40</v>
      </c>
      <c r="B905" s="304">
        <f t="shared" si="33"/>
        <v>40</v>
      </c>
      <c r="C905" s="756">
        <v>1</v>
      </c>
      <c r="D905" s="305"/>
      <c r="E905" s="309">
        <f t="shared" si="36"/>
        <v>15.1166</v>
      </c>
      <c r="F905" s="498"/>
      <c r="G905" s="304">
        <f t="shared" si="34"/>
        <v>92</v>
      </c>
      <c r="H905" s="308"/>
      <c r="I905" s="309">
        <f t="shared" si="35"/>
        <v>34.443180000000005</v>
      </c>
    </row>
    <row r="906" spans="1:9" x14ac:dyDescent="0.2">
      <c r="A906" s="304">
        <v>41</v>
      </c>
      <c r="B906" s="304">
        <f t="shared" si="33"/>
        <v>41</v>
      </c>
      <c r="C906" s="756">
        <v>1</v>
      </c>
      <c r="D906" s="305"/>
      <c r="E906" s="309">
        <f t="shared" si="36"/>
        <v>15.488265000000002</v>
      </c>
      <c r="F906" s="498"/>
      <c r="G906" s="304">
        <f t="shared" si="34"/>
        <v>93</v>
      </c>
      <c r="H906" s="308"/>
      <c r="I906" s="309">
        <f t="shared" si="35"/>
        <v>34.814845000000005</v>
      </c>
    </row>
    <row r="907" spans="1:9" x14ac:dyDescent="0.2">
      <c r="A907" s="304">
        <v>42</v>
      </c>
      <c r="B907" s="304">
        <f t="shared" si="33"/>
        <v>42</v>
      </c>
      <c r="C907" s="756">
        <v>1</v>
      </c>
      <c r="D907" s="305"/>
      <c r="E907" s="309">
        <f t="shared" si="36"/>
        <v>15.85993</v>
      </c>
      <c r="F907" s="498"/>
      <c r="G907" s="304">
        <f t="shared" si="34"/>
        <v>94</v>
      </c>
      <c r="H907" s="308"/>
      <c r="I907" s="309">
        <f t="shared" si="35"/>
        <v>35.186509999999998</v>
      </c>
    </row>
    <row r="908" spans="1:9" x14ac:dyDescent="0.2">
      <c r="A908" s="304">
        <v>43</v>
      </c>
      <c r="B908" s="304">
        <f t="shared" si="33"/>
        <v>43</v>
      </c>
      <c r="C908" s="756">
        <v>1</v>
      </c>
      <c r="D908" s="305"/>
      <c r="E908" s="309">
        <f t="shared" si="36"/>
        <v>16.231594999999999</v>
      </c>
      <c r="F908" s="498"/>
      <c r="G908" s="304">
        <f t="shared" si="34"/>
        <v>95</v>
      </c>
      <c r="H908" s="308"/>
      <c r="I908" s="309">
        <f t="shared" si="35"/>
        <v>35.558174999999999</v>
      </c>
    </row>
    <row r="909" spans="1:9" x14ac:dyDescent="0.2">
      <c r="A909" s="304">
        <v>44</v>
      </c>
      <c r="B909" s="304">
        <f t="shared" si="33"/>
        <v>44</v>
      </c>
      <c r="C909" s="756">
        <v>1</v>
      </c>
      <c r="D909" s="305"/>
      <c r="E909" s="309">
        <f t="shared" si="36"/>
        <v>16.603260000000002</v>
      </c>
      <c r="F909" s="498"/>
      <c r="G909" s="304">
        <f t="shared" si="34"/>
        <v>96</v>
      </c>
      <c r="H909" s="308"/>
      <c r="I909" s="309">
        <f t="shared" si="35"/>
        <v>35.929840000000006</v>
      </c>
    </row>
    <row r="910" spans="1:9" x14ac:dyDescent="0.2">
      <c r="A910" s="304">
        <v>45</v>
      </c>
      <c r="B910" s="304">
        <f t="shared" si="33"/>
        <v>45</v>
      </c>
      <c r="C910" s="756">
        <v>1</v>
      </c>
      <c r="D910" s="305"/>
      <c r="E910" s="309">
        <f t="shared" si="36"/>
        <v>16.974924999999999</v>
      </c>
      <c r="F910" s="498"/>
      <c r="G910" s="304">
        <f t="shared" si="34"/>
        <v>97</v>
      </c>
      <c r="H910" s="308"/>
      <c r="I910" s="309">
        <f t="shared" si="35"/>
        <v>36.301504999999999</v>
      </c>
    </row>
    <row r="911" spans="1:9" x14ac:dyDescent="0.2">
      <c r="A911" s="304">
        <v>46</v>
      </c>
      <c r="B911" s="304">
        <f t="shared" si="33"/>
        <v>46</v>
      </c>
      <c r="C911" s="756">
        <v>1</v>
      </c>
      <c r="D911" s="305"/>
      <c r="E911" s="309">
        <f t="shared" si="36"/>
        <v>17.346590000000003</v>
      </c>
      <c r="F911" s="498"/>
      <c r="G911" s="304">
        <f t="shared" si="34"/>
        <v>98</v>
      </c>
      <c r="H911" s="308"/>
      <c r="I911" s="309">
        <f t="shared" si="35"/>
        <v>36.673169999999999</v>
      </c>
    </row>
    <row r="912" spans="1:9" x14ac:dyDescent="0.2">
      <c r="A912" s="304">
        <v>47</v>
      </c>
      <c r="B912" s="304">
        <f t="shared" si="33"/>
        <v>47</v>
      </c>
      <c r="C912" s="756">
        <v>1</v>
      </c>
      <c r="D912" s="305"/>
      <c r="E912" s="309">
        <f t="shared" si="36"/>
        <v>17.718254999999999</v>
      </c>
      <c r="F912" s="498"/>
      <c r="G912" s="304">
        <f t="shared" si="34"/>
        <v>99</v>
      </c>
      <c r="H912" s="308"/>
      <c r="I912" s="309">
        <f t="shared" si="35"/>
        <v>37.044834999999999</v>
      </c>
    </row>
    <row r="913" spans="1:9" x14ac:dyDescent="0.2">
      <c r="A913" s="304">
        <v>48</v>
      </c>
      <c r="B913" s="304">
        <f t="shared" si="33"/>
        <v>48</v>
      </c>
      <c r="C913" s="756">
        <v>1</v>
      </c>
      <c r="D913" s="305"/>
      <c r="E913" s="309">
        <f t="shared" si="36"/>
        <v>18.089920000000003</v>
      </c>
      <c r="F913" s="498"/>
      <c r="G913" s="304">
        <f t="shared" si="34"/>
        <v>100</v>
      </c>
      <c r="H913" s="308"/>
      <c r="I913" s="309">
        <f t="shared" si="35"/>
        <v>37.416500000000006</v>
      </c>
    </row>
    <row r="914" spans="1:9" x14ac:dyDescent="0.2">
      <c r="A914" s="304">
        <v>49</v>
      </c>
      <c r="B914" s="304">
        <f t="shared" si="33"/>
        <v>49</v>
      </c>
      <c r="C914" s="756">
        <v>1</v>
      </c>
      <c r="D914" s="305"/>
      <c r="E914" s="309">
        <f t="shared" si="36"/>
        <v>18.461584999999999</v>
      </c>
      <c r="F914" s="498"/>
      <c r="G914" s="499"/>
    </row>
    <row r="915" spans="1:9" x14ac:dyDescent="0.2">
      <c r="A915" s="304">
        <v>50</v>
      </c>
      <c r="B915" s="304">
        <f t="shared" si="33"/>
        <v>50</v>
      </c>
      <c r="C915" s="756">
        <v>1</v>
      </c>
      <c r="D915" s="305"/>
      <c r="E915" s="309">
        <f t="shared" si="36"/>
        <v>18.833250000000003</v>
      </c>
      <c r="F915" s="502"/>
      <c r="G915" s="502" t="s">
        <v>4</v>
      </c>
    </row>
    <row r="916" spans="1:9" x14ac:dyDescent="0.2">
      <c r="A916" s="304">
        <v>51</v>
      </c>
      <c r="B916" s="304">
        <f t="shared" si="33"/>
        <v>51</v>
      </c>
      <c r="C916" s="756">
        <v>1</v>
      </c>
      <c r="D916" s="305"/>
      <c r="E916" s="309">
        <f t="shared" si="36"/>
        <v>19.204915</v>
      </c>
      <c r="F916" s="502"/>
      <c r="G916" s="502"/>
    </row>
    <row r="917" spans="1:9" x14ac:dyDescent="0.2">
      <c r="A917" s="304">
        <v>52</v>
      </c>
      <c r="B917" s="304">
        <f t="shared" si="33"/>
        <v>52</v>
      </c>
      <c r="C917" s="756">
        <v>1</v>
      </c>
      <c r="D917" s="305"/>
      <c r="E917" s="309">
        <f t="shared" si="36"/>
        <v>19.576580000000003</v>
      </c>
      <c r="F917" s="502"/>
      <c r="G917" s="502" t="s">
        <v>14</v>
      </c>
    </row>
    <row r="918" spans="1:9" x14ac:dyDescent="0.2">
      <c r="A918" s="304">
        <v>53</v>
      </c>
      <c r="B918" s="304">
        <f t="shared" si="33"/>
        <v>53</v>
      </c>
      <c r="C918" s="756">
        <v>1</v>
      </c>
      <c r="D918" s="305"/>
      <c r="E918" s="309">
        <f t="shared" si="36"/>
        <v>19.948245</v>
      </c>
      <c r="F918" s="502"/>
      <c r="G918" s="502" t="s">
        <v>217</v>
      </c>
    </row>
    <row r="919" spans="1:9" x14ac:dyDescent="0.2">
      <c r="A919" s="304">
        <v>54</v>
      </c>
      <c r="B919" s="304">
        <f t="shared" si="33"/>
        <v>54</v>
      </c>
      <c r="C919" s="756">
        <v>1</v>
      </c>
      <c r="D919" s="305"/>
      <c r="E919" s="309">
        <f t="shared" si="36"/>
        <v>20.31991</v>
      </c>
      <c r="F919" s="502"/>
      <c r="G919" s="499"/>
    </row>
    <row r="920" spans="1:9" x14ac:dyDescent="0.2">
      <c r="A920" s="304">
        <v>55</v>
      </c>
      <c r="B920" s="304">
        <f t="shared" si="33"/>
        <v>55</v>
      </c>
      <c r="C920" s="756">
        <v>1</v>
      </c>
      <c r="D920" s="305"/>
      <c r="E920" s="309">
        <f t="shared" si="36"/>
        <v>20.691575</v>
      </c>
      <c r="F920" s="498"/>
      <c r="G920" s="499"/>
    </row>
    <row r="921" spans="1:9" x14ac:dyDescent="0.2">
      <c r="A921" s="304">
        <v>56</v>
      </c>
      <c r="B921" s="304">
        <f t="shared" si="33"/>
        <v>56</v>
      </c>
      <c r="C921" s="756">
        <v>1</v>
      </c>
      <c r="D921" s="305"/>
      <c r="E921" s="309">
        <f t="shared" si="36"/>
        <v>21.06324</v>
      </c>
      <c r="F921" s="498"/>
      <c r="G921" s="499"/>
    </row>
    <row r="922" spans="1:9" x14ac:dyDescent="0.2">
      <c r="A922" s="304">
        <v>57</v>
      </c>
      <c r="B922" s="304">
        <f t="shared" si="33"/>
        <v>57</v>
      </c>
      <c r="C922" s="756">
        <v>1</v>
      </c>
      <c r="D922" s="305"/>
      <c r="E922" s="309">
        <f t="shared" si="36"/>
        <v>21.434905000000001</v>
      </c>
      <c r="F922" s="498"/>
      <c r="G922" s="499"/>
    </row>
    <row r="923" spans="1:9" x14ac:dyDescent="0.2">
      <c r="A923" s="304">
        <v>58</v>
      </c>
      <c r="B923" s="304">
        <f t="shared" si="33"/>
        <v>58</v>
      </c>
      <c r="C923" s="756">
        <v>1</v>
      </c>
      <c r="D923" s="305"/>
      <c r="E923" s="309">
        <f t="shared" si="36"/>
        <v>21.806570000000001</v>
      </c>
      <c r="F923" s="498"/>
      <c r="G923" s="499"/>
    </row>
    <row r="924" spans="1:9" x14ac:dyDescent="0.2">
      <c r="A924" s="304">
        <v>59</v>
      </c>
      <c r="B924" s="304">
        <f t="shared" si="33"/>
        <v>59</v>
      </c>
      <c r="C924" s="756">
        <v>1</v>
      </c>
      <c r="D924" s="305"/>
      <c r="E924" s="309">
        <f t="shared" si="36"/>
        <v>22.178235000000001</v>
      </c>
      <c r="F924" s="498"/>
      <c r="G924" s="499"/>
    </row>
    <row r="925" spans="1:9" x14ac:dyDescent="0.2">
      <c r="A925" s="304">
        <v>60</v>
      </c>
      <c r="B925" s="304">
        <f t="shared" si="33"/>
        <v>60</v>
      </c>
      <c r="C925" s="756">
        <v>1</v>
      </c>
      <c r="D925" s="305"/>
      <c r="E925" s="309">
        <f t="shared" si="36"/>
        <v>22.549900000000001</v>
      </c>
      <c r="F925" s="498"/>
      <c r="G925" s="499"/>
    </row>
    <row r="926" spans="1:9" x14ac:dyDescent="0.2">
      <c r="A926" s="304">
        <v>61</v>
      </c>
      <c r="B926" s="304">
        <f t="shared" si="33"/>
        <v>61</v>
      </c>
      <c r="C926" s="756">
        <v>1</v>
      </c>
      <c r="D926" s="305"/>
      <c r="E926" s="309">
        <f t="shared" si="36"/>
        <v>22.921565000000001</v>
      </c>
      <c r="F926" s="498"/>
      <c r="G926" s="499"/>
    </row>
    <row r="927" spans="1:9" x14ac:dyDescent="0.2">
      <c r="A927" s="304">
        <v>62</v>
      </c>
      <c r="B927" s="304">
        <f t="shared" si="33"/>
        <v>62</v>
      </c>
      <c r="C927" s="756">
        <v>1</v>
      </c>
      <c r="D927" s="305"/>
      <c r="E927" s="309">
        <f t="shared" si="36"/>
        <v>23.293230000000001</v>
      </c>
      <c r="F927" s="498"/>
      <c r="G927" s="499"/>
    </row>
    <row r="928" spans="1:9" x14ac:dyDescent="0.2">
      <c r="A928" s="304">
        <v>63</v>
      </c>
      <c r="B928" s="304">
        <f t="shared" si="33"/>
        <v>63</v>
      </c>
      <c r="C928" s="756">
        <v>1</v>
      </c>
      <c r="D928" s="305"/>
      <c r="E928" s="309">
        <f t="shared" si="36"/>
        <v>23.664895000000001</v>
      </c>
      <c r="F928" s="498"/>
      <c r="G928" s="499"/>
    </row>
    <row r="929" spans="1:7" x14ac:dyDescent="0.2">
      <c r="A929" s="304">
        <v>64</v>
      </c>
      <c r="B929" s="304">
        <f t="shared" si="33"/>
        <v>64</v>
      </c>
      <c r="C929" s="756">
        <v>1</v>
      </c>
      <c r="D929" s="305"/>
      <c r="E929" s="309">
        <f t="shared" si="36"/>
        <v>24.036560000000001</v>
      </c>
      <c r="F929" s="498"/>
      <c r="G929" s="499"/>
    </row>
    <row r="930" spans="1:7" x14ac:dyDescent="0.2">
      <c r="A930" s="304">
        <v>65</v>
      </c>
      <c r="B930" s="304">
        <f t="shared" si="33"/>
        <v>65</v>
      </c>
      <c r="C930" s="756">
        <v>1</v>
      </c>
      <c r="D930" s="305"/>
      <c r="E930" s="309">
        <f t="shared" si="36"/>
        <v>24.408225000000002</v>
      </c>
      <c r="F930" s="498"/>
      <c r="G930" s="499"/>
    </row>
    <row r="931" spans="1:7" x14ac:dyDescent="0.2">
      <c r="A931" s="304">
        <v>66</v>
      </c>
      <c r="B931" s="304">
        <f t="shared" ref="B931:B965" si="37">A931*C931</f>
        <v>66</v>
      </c>
      <c r="C931" s="756">
        <v>1</v>
      </c>
      <c r="D931" s="305"/>
      <c r="E931" s="309">
        <f t="shared" si="36"/>
        <v>24.779890000000002</v>
      </c>
      <c r="F931" s="498"/>
      <c r="G931" s="499"/>
    </row>
    <row r="932" spans="1:7" x14ac:dyDescent="0.2">
      <c r="A932" s="304">
        <v>67</v>
      </c>
      <c r="B932" s="304">
        <f t="shared" si="37"/>
        <v>67</v>
      </c>
      <c r="C932" s="756">
        <v>1</v>
      </c>
      <c r="D932" s="305"/>
      <c r="E932" s="309">
        <f t="shared" ref="E932:E965" si="38">(($C$863*B932)+($D$863*C932))*(1-D932)*5%</f>
        <v>25.151555000000002</v>
      </c>
      <c r="F932" s="498"/>
      <c r="G932" s="499"/>
    </row>
    <row r="933" spans="1:7" x14ac:dyDescent="0.2">
      <c r="A933" s="304">
        <v>68</v>
      </c>
      <c r="B933" s="304">
        <f t="shared" si="37"/>
        <v>68</v>
      </c>
      <c r="C933" s="756">
        <v>1</v>
      </c>
      <c r="D933" s="305"/>
      <c r="E933" s="309">
        <f t="shared" si="38"/>
        <v>25.523220000000002</v>
      </c>
      <c r="F933" s="498"/>
      <c r="G933" s="499"/>
    </row>
    <row r="934" spans="1:7" x14ac:dyDescent="0.2">
      <c r="A934" s="304">
        <v>69</v>
      </c>
      <c r="B934" s="304">
        <f t="shared" si="37"/>
        <v>69</v>
      </c>
      <c r="C934" s="756">
        <v>1</v>
      </c>
      <c r="D934" s="305"/>
      <c r="E934" s="309">
        <f t="shared" si="38"/>
        <v>25.894885000000002</v>
      </c>
      <c r="F934" s="498"/>
      <c r="G934" s="499"/>
    </row>
    <row r="935" spans="1:7" x14ac:dyDescent="0.2">
      <c r="A935" s="304">
        <v>70</v>
      </c>
      <c r="B935" s="304">
        <f t="shared" si="37"/>
        <v>70</v>
      </c>
      <c r="C935" s="756">
        <v>1</v>
      </c>
      <c r="D935" s="305"/>
      <c r="E935" s="309">
        <f t="shared" si="38"/>
        <v>26.266550000000002</v>
      </c>
      <c r="F935" s="498"/>
      <c r="G935" s="499"/>
    </row>
    <row r="936" spans="1:7" x14ac:dyDescent="0.2">
      <c r="A936" s="304">
        <v>71</v>
      </c>
      <c r="B936" s="304">
        <f t="shared" si="37"/>
        <v>71</v>
      </c>
      <c r="C936" s="756">
        <v>1</v>
      </c>
      <c r="D936" s="305"/>
      <c r="E936" s="309">
        <f t="shared" si="38"/>
        <v>26.638215000000002</v>
      </c>
      <c r="F936" s="498"/>
      <c r="G936" s="499"/>
    </row>
    <row r="937" spans="1:7" x14ac:dyDescent="0.2">
      <c r="A937" s="304">
        <v>72</v>
      </c>
      <c r="B937" s="304">
        <f t="shared" si="37"/>
        <v>72</v>
      </c>
      <c r="C937" s="756">
        <v>1</v>
      </c>
      <c r="D937" s="305"/>
      <c r="E937" s="309">
        <f t="shared" si="38"/>
        <v>27.009879999999999</v>
      </c>
      <c r="F937" s="498"/>
      <c r="G937" s="499"/>
    </row>
    <row r="938" spans="1:7" x14ac:dyDescent="0.2">
      <c r="A938" s="304">
        <v>73</v>
      </c>
      <c r="B938" s="304">
        <f t="shared" si="37"/>
        <v>73</v>
      </c>
      <c r="C938" s="756">
        <v>1</v>
      </c>
      <c r="D938" s="305"/>
      <c r="E938" s="309">
        <f t="shared" si="38"/>
        <v>27.381545000000003</v>
      </c>
      <c r="F938" s="498"/>
      <c r="G938" s="499"/>
    </row>
    <row r="939" spans="1:7" x14ac:dyDescent="0.2">
      <c r="A939" s="304">
        <v>74</v>
      </c>
      <c r="B939" s="304">
        <f t="shared" si="37"/>
        <v>74</v>
      </c>
      <c r="C939" s="756">
        <v>1</v>
      </c>
      <c r="D939" s="305"/>
      <c r="E939" s="309">
        <f t="shared" si="38"/>
        <v>27.753210000000003</v>
      </c>
      <c r="F939" s="498"/>
      <c r="G939" s="499"/>
    </row>
    <row r="940" spans="1:7" x14ac:dyDescent="0.2">
      <c r="A940" s="304">
        <v>75</v>
      </c>
      <c r="B940" s="304">
        <f t="shared" si="37"/>
        <v>75</v>
      </c>
      <c r="C940" s="756">
        <v>1</v>
      </c>
      <c r="D940" s="305"/>
      <c r="E940" s="309">
        <f t="shared" si="38"/>
        <v>28.124874999999999</v>
      </c>
      <c r="F940" s="498"/>
      <c r="G940" s="499"/>
    </row>
    <row r="941" spans="1:7" x14ac:dyDescent="0.2">
      <c r="A941" s="304">
        <v>76</v>
      </c>
      <c r="B941" s="304">
        <f t="shared" si="37"/>
        <v>76</v>
      </c>
      <c r="C941" s="756">
        <v>1</v>
      </c>
      <c r="D941" s="305"/>
      <c r="E941" s="309">
        <f t="shared" si="38"/>
        <v>28.49654</v>
      </c>
      <c r="F941" s="498"/>
      <c r="G941" s="499"/>
    </row>
    <row r="942" spans="1:7" x14ac:dyDescent="0.2">
      <c r="A942" s="304">
        <v>77</v>
      </c>
      <c r="B942" s="304">
        <f t="shared" si="37"/>
        <v>77</v>
      </c>
      <c r="C942" s="756">
        <v>1</v>
      </c>
      <c r="D942" s="305"/>
      <c r="E942" s="309">
        <f t="shared" si="38"/>
        <v>28.868205000000003</v>
      </c>
      <c r="F942" s="498"/>
      <c r="G942" s="499"/>
    </row>
    <row r="943" spans="1:7" x14ac:dyDescent="0.2">
      <c r="A943" s="304">
        <v>78</v>
      </c>
      <c r="B943" s="304">
        <f t="shared" si="37"/>
        <v>78</v>
      </c>
      <c r="C943" s="756">
        <v>1</v>
      </c>
      <c r="D943" s="305"/>
      <c r="E943" s="309">
        <f t="shared" si="38"/>
        <v>29.239870000000003</v>
      </c>
      <c r="F943" s="498"/>
      <c r="G943" s="499"/>
    </row>
    <row r="944" spans="1:7" x14ac:dyDescent="0.2">
      <c r="A944" s="304">
        <v>79</v>
      </c>
      <c r="B944" s="304">
        <f t="shared" si="37"/>
        <v>79</v>
      </c>
      <c r="C944" s="756">
        <v>1</v>
      </c>
      <c r="D944" s="305"/>
      <c r="E944" s="309">
        <f t="shared" si="38"/>
        <v>29.611535</v>
      </c>
      <c r="F944" s="498"/>
      <c r="G944" s="499"/>
    </row>
    <row r="945" spans="1:7" x14ac:dyDescent="0.2">
      <c r="A945" s="304">
        <v>80</v>
      </c>
      <c r="B945" s="304">
        <f t="shared" si="37"/>
        <v>80</v>
      </c>
      <c r="C945" s="756">
        <v>1</v>
      </c>
      <c r="D945" s="305"/>
      <c r="E945" s="309">
        <f t="shared" si="38"/>
        <v>29.9832</v>
      </c>
      <c r="F945" s="498"/>
      <c r="G945" s="499"/>
    </row>
    <row r="946" spans="1:7" x14ac:dyDescent="0.2">
      <c r="A946" s="304">
        <v>81</v>
      </c>
      <c r="B946" s="304">
        <f t="shared" si="37"/>
        <v>81</v>
      </c>
      <c r="C946" s="756">
        <v>1</v>
      </c>
      <c r="D946" s="305"/>
      <c r="E946" s="309">
        <f t="shared" si="38"/>
        <v>30.354865000000004</v>
      </c>
      <c r="F946" s="498"/>
      <c r="G946" s="499"/>
    </row>
    <row r="947" spans="1:7" x14ac:dyDescent="0.2">
      <c r="A947" s="304">
        <v>82</v>
      </c>
      <c r="B947" s="304">
        <f t="shared" si="37"/>
        <v>82</v>
      </c>
      <c r="C947" s="756">
        <v>1</v>
      </c>
      <c r="D947" s="305"/>
      <c r="E947" s="309">
        <f t="shared" si="38"/>
        <v>30.726530000000004</v>
      </c>
      <c r="F947" s="498"/>
      <c r="G947" s="499"/>
    </row>
    <row r="948" spans="1:7" x14ac:dyDescent="0.2">
      <c r="A948" s="304">
        <v>83</v>
      </c>
      <c r="B948" s="304">
        <f t="shared" si="37"/>
        <v>83</v>
      </c>
      <c r="C948" s="756">
        <v>1</v>
      </c>
      <c r="D948" s="305"/>
      <c r="E948" s="309">
        <f t="shared" si="38"/>
        <v>31.098195</v>
      </c>
      <c r="F948" s="498"/>
      <c r="G948" s="499"/>
    </row>
    <row r="949" spans="1:7" x14ac:dyDescent="0.2">
      <c r="A949" s="304">
        <v>84</v>
      </c>
      <c r="B949" s="304">
        <f t="shared" si="37"/>
        <v>84</v>
      </c>
      <c r="C949" s="756">
        <v>1</v>
      </c>
      <c r="D949" s="305"/>
      <c r="E949" s="309">
        <f t="shared" si="38"/>
        <v>31.469860000000001</v>
      </c>
      <c r="F949" s="498"/>
      <c r="G949" s="499"/>
    </row>
    <row r="950" spans="1:7" x14ac:dyDescent="0.2">
      <c r="A950" s="304">
        <v>85</v>
      </c>
      <c r="B950" s="304">
        <f t="shared" si="37"/>
        <v>85</v>
      </c>
      <c r="C950" s="756">
        <v>1</v>
      </c>
      <c r="D950" s="305"/>
      <c r="E950" s="309">
        <f t="shared" si="38"/>
        <v>31.841525000000004</v>
      </c>
      <c r="F950" s="498"/>
      <c r="G950" s="499"/>
    </row>
    <row r="951" spans="1:7" x14ac:dyDescent="0.2">
      <c r="A951" s="304">
        <v>86</v>
      </c>
      <c r="B951" s="304">
        <f t="shared" si="37"/>
        <v>86</v>
      </c>
      <c r="C951" s="756">
        <v>1</v>
      </c>
      <c r="D951" s="305"/>
      <c r="E951" s="309">
        <f t="shared" si="38"/>
        <v>32.213189999999997</v>
      </c>
      <c r="F951" s="498"/>
      <c r="G951" s="499"/>
    </row>
    <row r="952" spans="1:7" x14ac:dyDescent="0.2">
      <c r="A952" s="304">
        <v>87</v>
      </c>
      <c r="B952" s="304">
        <f t="shared" si="37"/>
        <v>87</v>
      </c>
      <c r="C952" s="756">
        <v>1</v>
      </c>
      <c r="D952" s="305"/>
      <c r="E952" s="309">
        <f t="shared" si="38"/>
        <v>32.584854999999997</v>
      </c>
      <c r="F952" s="498"/>
      <c r="G952" s="499"/>
    </row>
    <row r="953" spans="1:7" x14ac:dyDescent="0.2">
      <c r="A953" s="304">
        <v>88</v>
      </c>
      <c r="B953" s="304">
        <f t="shared" si="37"/>
        <v>88</v>
      </c>
      <c r="C953" s="756">
        <v>1</v>
      </c>
      <c r="D953" s="305"/>
      <c r="E953" s="309">
        <f t="shared" si="38"/>
        <v>32.956520000000005</v>
      </c>
      <c r="F953" s="502" t="s">
        <v>5</v>
      </c>
      <c r="G953" s="499"/>
    </row>
    <row r="954" spans="1:7" x14ac:dyDescent="0.2">
      <c r="A954" s="304">
        <v>89</v>
      </c>
      <c r="B954" s="304">
        <f t="shared" si="37"/>
        <v>89</v>
      </c>
      <c r="C954" s="756">
        <v>1</v>
      </c>
      <c r="D954" s="305"/>
      <c r="E954" s="309">
        <f t="shared" si="38"/>
        <v>33.328185000000005</v>
      </c>
      <c r="F954" s="502"/>
      <c r="G954" s="499"/>
    </row>
    <row r="955" spans="1:7" x14ac:dyDescent="0.2">
      <c r="A955" s="304">
        <v>90</v>
      </c>
      <c r="B955" s="304">
        <f t="shared" si="37"/>
        <v>90</v>
      </c>
      <c r="C955" s="756">
        <v>1</v>
      </c>
      <c r="D955" s="305"/>
      <c r="E955" s="309">
        <f t="shared" si="38"/>
        <v>33.699849999999998</v>
      </c>
      <c r="F955" s="502"/>
      <c r="G955" s="499"/>
    </row>
    <row r="956" spans="1:7" x14ac:dyDescent="0.2">
      <c r="A956" s="304">
        <v>91</v>
      </c>
      <c r="B956" s="304">
        <f t="shared" si="37"/>
        <v>91</v>
      </c>
      <c r="C956" s="756">
        <v>1</v>
      </c>
      <c r="D956" s="305"/>
      <c r="E956" s="309">
        <f t="shared" si="38"/>
        <v>34.071514999999998</v>
      </c>
      <c r="F956" s="502" t="s">
        <v>14</v>
      </c>
      <c r="G956" s="499"/>
    </row>
    <row r="957" spans="1:7" x14ac:dyDescent="0.2">
      <c r="A957" s="304">
        <v>92</v>
      </c>
      <c r="B957" s="304">
        <f t="shared" si="37"/>
        <v>92</v>
      </c>
      <c r="C957" s="756">
        <v>1</v>
      </c>
      <c r="D957" s="305"/>
      <c r="E957" s="309">
        <f t="shared" si="38"/>
        <v>34.443180000000005</v>
      </c>
      <c r="F957" s="502" t="s">
        <v>217</v>
      </c>
      <c r="G957" s="499"/>
    </row>
    <row r="958" spans="1:7" x14ac:dyDescent="0.2">
      <c r="A958" s="304">
        <v>93</v>
      </c>
      <c r="B958" s="304">
        <f t="shared" si="37"/>
        <v>93</v>
      </c>
      <c r="C958" s="756">
        <v>1</v>
      </c>
      <c r="D958" s="305"/>
      <c r="E958" s="309">
        <f t="shared" si="38"/>
        <v>34.814845000000005</v>
      </c>
      <c r="F958" s="502"/>
      <c r="G958" s="499"/>
    </row>
    <row r="959" spans="1:7" x14ac:dyDescent="0.2">
      <c r="A959" s="304">
        <v>94</v>
      </c>
      <c r="B959" s="304">
        <f t="shared" si="37"/>
        <v>94</v>
      </c>
      <c r="C959" s="756">
        <v>1</v>
      </c>
      <c r="D959" s="305"/>
      <c r="E959" s="309">
        <f t="shared" si="38"/>
        <v>35.186509999999998</v>
      </c>
      <c r="F959" s="502"/>
      <c r="G959" s="499"/>
    </row>
    <row r="960" spans="1:7" x14ac:dyDescent="0.2">
      <c r="A960" s="304">
        <v>95</v>
      </c>
      <c r="B960" s="304">
        <f t="shared" si="37"/>
        <v>95</v>
      </c>
      <c r="C960" s="756">
        <v>1</v>
      </c>
      <c r="D960" s="305"/>
      <c r="E960" s="309">
        <f t="shared" si="38"/>
        <v>35.558174999999999</v>
      </c>
      <c r="F960" s="502"/>
      <c r="G960" s="499"/>
    </row>
    <row r="961" spans="1:9" x14ac:dyDescent="0.2">
      <c r="A961" s="304">
        <v>96</v>
      </c>
      <c r="B961" s="304">
        <f t="shared" si="37"/>
        <v>96</v>
      </c>
      <c r="C961" s="756">
        <v>1</v>
      </c>
      <c r="D961" s="305"/>
      <c r="E961" s="309">
        <f t="shared" si="38"/>
        <v>35.929840000000006</v>
      </c>
      <c r="F961" s="502"/>
      <c r="G961" s="499"/>
    </row>
    <row r="962" spans="1:9" x14ac:dyDescent="0.2">
      <c r="A962" s="304">
        <v>97</v>
      </c>
      <c r="B962" s="304">
        <f t="shared" si="37"/>
        <v>97</v>
      </c>
      <c r="C962" s="756">
        <v>1</v>
      </c>
      <c r="D962" s="305"/>
      <c r="E962" s="309">
        <f t="shared" si="38"/>
        <v>36.301504999999999</v>
      </c>
      <c r="F962" s="502"/>
      <c r="G962" s="499"/>
    </row>
    <row r="963" spans="1:9" x14ac:dyDescent="0.2">
      <c r="A963" s="304">
        <v>98</v>
      </c>
      <c r="B963" s="304">
        <f t="shared" si="37"/>
        <v>98</v>
      </c>
      <c r="C963" s="756">
        <v>1</v>
      </c>
      <c r="D963" s="305"/>
      <c r="E963" s="309">
        <f t="shared" si="38"/>
        <v>36.673169999999999</v>
      </c>
      <c r="F963" s="502"/>
      <c r="G963" s="499"/>
    </row>
    <row r="964" spans="1:9" x14ac:dyDescent="0.2">
      <c r="A964" s="304">
        <v>99</v>
      </c>
      <c r="B964" s="304">
        <f t="shared" si="37"/>
        <v>99</v>
      </c>
      <c r="C964" s="756">
        <v>1</v>
      </c>
      <c r="D964" s="305"/>
      <c r="E964" s="309">
        <f t="shared" si="38"/>
        <v>37.044834999999999</v>
      </c>
      <c r="F964" s="502"/>
      <c r="G964" s="499"/>
    </row>
    <row r="965" spans="1:9" x14ac:dyDescent="0.2">
      <c r="A965" s="304">
        <v>100</v>
      </c>
      <c r="B965" s="304">
        <f t="shared" si="37"/>
        <v>100</v>
      </c>
      <c r="C965" s="756">
        <v>1</v>
      </c>
      <c r="D965" s="305"/>
      <c r="E965" s="309">
        <f t="shared" si="38"/>
        <v>37.416500000000006</v>
      </c>
      <c r="F965" s="503"/>
      <c r="G965" s="499"/>
    </row>
    <row r="966" spans="1:9" x14ac:dyDescent="0.2">
      <c r="A966" s="763" t="s">
        <v>207</v>
      </c>
      <c r="B966" s="423">
        <f>SUM(B866:B965)</f>
        <v>5050</v>
      </c>
      <c r="C966" s="311"/>
      <c r="D966" s="311"/>
      <c r="E966" s="312">
        <f>SUM(E866:E965)</f>
        <v>1886.7907297500001</v>
      </c>
    </row>
    <row r="971" spans="1:9" ht="15" x14ac:dyDescent="0.35">
      <c r="A971" s="757" t="s">
        <v>326</v>
      </c>
      <c r="B971" s="76"/>
      <c r="C971" s="76"/>
      <c r="D971" s="76"/>
      <c r="E971" s="76"/>
      <c r="F971" s="76"/>
      <c r="G971" s="76"/>
      <c r="H971" s="76"/>
      <c r="I971" s="76"/>
    </row>
    <row r="972" spans="1:9" x14ac:dyDescent="0.2">
      <c r="A972" s="562" t="s">
        <v>327</v>
      </c>
      <c r="B972" s="563"/>
      <c r="C972" s="563"/>
      <c r="D972" s="563"/>
      <c r="E972" s="76"/>
      <c r="F972" s="76"/>
      <c r="G972" s="76"/>
      <c r="H972" s="76"/>
      <c r="I972" s="76"/>
    </row>
    <row r="973" spans="1:9" x14ac:dyDescent="0.2">
      <c r="A973" s="562" t="s">
        <v>202</v>
      </c>
      <c r="B973" s="563"/>
      <c r="C973" s="563"/>
      <c r="D973" s="563"/>
      <c r="E973" s="564"/>
      <c r="F973" s="76"/>
      <c r="G973" s="76"/>
      <c r="H973" s="76"/>
      <c r="I973" s="76"/>
    </row>
    <row r="974" spans="1:9" x14ac:dyDescent="0.2">
      <c r="A974" s="1119" t="s">
        <v>3</v>
      </c>
      <c r="B974" s="1120"/>
      <c r="C974" s="1123" t="s">
        <v>328</v>
      </c>
      <c r="D974" s="1123"/>
      <c r="E974" s="564"/>
      <c r="F974" s="76"/>
      <c r="G974" s="76"/>
      <c r="H974" s="76"/>
      <c r="I974" s="76"/>
    </row>
    <row r="975" spans="1:9" x14ac:dyDescent="0.2">
      <c r="A975" s="1121"/>
      <c r="B975" s="1122"/>
      <c r="C975" s="304" t="s">
        <v>135</v>
      </c>
      <c r="D975" s="304" t="s">
        <v>136</v>
      </c>
      <c r="E975" s="564"/>
      <c r="F975" s="76"/>
      <c r="G975" s="76"/>
      <c r="H975" s="76"/>
      <c r="I975" s="76"/>
    </row>
    <row r="976" spans="1:9" x14ac:dyDescent="0.2">
      <c r="A976" s="644" t="s">
        <v>137</v>
      </c>
      <c r="B976" s="645"/>
      <c r="C976" s="646">
        <v>5.2492000000000001</v>
      </c>
      <c r="D976" s="647"/>
      <c r="E976" s="564"/>
      <c r="F976" s="76"/>
      <c r="G976" s="76"/>
      <c r="H976" s="76"/>
      <c r="I976" s="76"/>
    </row>
    <row r="977" spans="1:9" x14ac:dyDescent="0.2">
      <c r="A977" s="648" t="s">
        <v>138</v>
      </c>
      <c r="B977" s="296"/>
      <c r="C977" s="649">
        <v>0.8458</v>
      </c>
      <c r="D977" s="650"/>
      <c r="E977" s="564"/>
      <c r="F977" s="76"/>
      <c r="G977" s="76"/>
      <c r="H977" s="76"/>
      <c r="I977" s="76"/>
    </row>
    <row r="978" spans="1:9" x14ac:dyDescent="0.2">
      <c r="A978" s="648" t="s">
        <v>139</v>
      </c>
      <c r="B978" s="296"/>
      <c r="C978" s="651">
        <v>0.75360000000000005</v>
      </c>
      <c r="D978" s="650"/>
      <c r="E978" s="564"/>
      <c r="F978" s="76"/>
      <c r="G978" s="76"/>
      <c r="H978" s="76"/>
      <c r="I978" s="76"/>
    </row>
    <row r="979" spans="1:9" x14ac:dyDescent="0.2">
      <c r="A979" s="648" t="s">
        <v>140</v>
      </c>
      <c r="B979" s="296"/>
      <c r="C979" s="652">
        <v>0.84489999999999998</v>
      </c>
      <c r="D979" s="650"/>
      <c r="E979" s="564"/>
      <c r="F979" s="76"/>
      <c r="G979" s="76"/>
      <c r="H979" s="76"/>
      <c r="I979" s="76"/>
    </row>
    <row r="980" spans="1:9" x14ac:dyDescent="0.2">
      <c r="A980" s="648" t="s">
        <v>141</v>
      </c>
      <c r="B980" s="296"/>
      <c r="C980" s="652">
        <v>0.7732</v>
      </c>
      <c r="D980" s="650"/>
      <c r="E980" s="564"/>
      <c r="F980" s="76"/>
      <c r="G980" s="76"/>
      <c r="H980" s="76"/>
      <c r="I980" s="76"/>
    </row>
    <row r="981" spans="1:9" x14ac:dyDescent="0.2">
      <c r="A981" s="648" t="s">
        <v>142</v>
      </c>
      <c r="B981" s="296"/>
      <c r="C981" s="653">
        <v>0.45689999999999997</v>
      </c>
      <c r="D981" s="654">
        <v>5</v>
      </c>
      <c r="E981" s="564"/>
      <c r="F981" s="76"/>
      <c r="G981" s="76"/>
      <c r="H981" s="76"/>
      <c r="I981" s="76"/>
    </row>
    <row r="982" spans="1:9" x14ac:dyDescent="0.2">
      <c r="A982" s="655" t="s">
        <v>2</v>
      </c>
      <c r="B982" s="656"/>
      <c r="C982" s="657">
        <f>SUM(C976:C981)</f>
        <v>8.9235999999999986</v>
      </c>
      <c r="D982" s="658">
        <f>SUM(D976:D981)</f>
        <v>5</v>
      </c>
      <c r="E982" s="77"/>
      <c r="F982" s="77"/>
      <c r="G982" s="77"/>
      <c r="H982" s="76"/>
      <c r="I982" s="76"/>
    </row>
    <row r="983" spans="1:9" x14ac:dyDescent="0.2">
      <c r="A983" s="563"/>
      <c r="B983" s="563"/>
      <c r="C983" s="563"/>
      <c r="D983" s="563"/>
      <c r="E983" s="76"/>
      <c r="F983" s="76"/>
      <c r="G983" s="76"/>
      <c r="H983" s="76"/>
      <c r="I983" s="76"/>
    </row>
    <row r="984" spans="1:9" ht="45" x14ac:dyDescent="0.2">
      <c r="A984" s="556" t="s">
        <v>325</v>
      </c>
      <c r="B984" s="758" t="s">
        <v>68</v>
      </c>
      <c r="C984" s="556" t="s">
        <v>204</v>
      </c>
      <c r="D984" s="556" t="s">
        <v>205</v>
      </c>
      <c r="E984" s="559" t="s">
        <v>206</v>
      </c>
      <c r="F984" s="76"/>
      <c r="G984" s="556" t="s">
        <v>239</v>
      </c>
      <c r="H984" s="560" t="str">
        <f>D984</f>
        <v>Lifeline Discount Rate</v>
      </c>
      <c r="I984" s="561" t="str">
        <f>E984</f>
        <v>SENIOR CITIZEN DISCOUNT (Php)</v>
      </c>
    </row>
    <row r="985" spans="1:9" x14ac:dyDescent="0.2">
      <c r="A985" s="304">
        <v>1</v>
      </c>
      <c r="B985" s="304">
        <f>A985*C985</f>
        <v>1</v>
      </c>
      <c r="C985" s="756">
        <v>1</v>
      </c>
      <c r="D985" s="308">
        <v>0.25</v>
      </c>
      <c r="E985" s="309">
        <f>(($C$982*B985)+($D$982*C985))*(1-D985)*5%</f>
        <v>0.5221349999999999</v>
      </c>
      <c r="F985" s="498"/>
      <c r="G985" s="553">
        <f>A1037</f>
        <v>53</v>
      </c>
      <c r="H985" s="660"/>
      <c r="I985" s="661">
        <f>E1037</f>
        <v>23.897539999999996</v>
      </c>
    </row>
    <row r="986" spans="1:9" x14ac:dyDescent="0.2">
      <c r="A986" s="304">
        <v>2</v>
      </c>
      <c r="B986" s="304">
        <f t="shared" ref="B986:B1049" si="39">A986*C986</f>
        <v>2</v>
      </c>
      <c r="C986" s="756">
        <v>1</v>
      </c>
      <c r="D986" s="308">
        <v>0.25</v>
      </c>
      <c r="E986" s="309">
        <f>(($C$982*B986)+($D$982*C986))*(1-D986)*5%</f>
        <v>0.85676999999999992</v>
      </c>
      <c r="F986" s="498"/>
      <c r="G986" s="304">
        <f t="shared" ref="G986:G1032" si="40">A1038</f>
        <v>54</v>
      </c>
      <c r="H986" s="308"/>
      <c r="I986" s="309">
        <f>E1038</f>
        <v>24.343719999999998</v>
      </c>
    </row>
    <row r="987" spans="1:9" x14ac:dyDescent="0.2">
      <c r="A987" s="304">
        <v>3</v>
      </c>
      <c r="B987" s="304">
        <f t="shared" si="39"/>
        <v>3</v>
      </c>
      <c r="C987" s="756">
        <v>1</v>
      </c>
      <c r="D987" s="308">
        <v>0.25</v>
      </c>
      <c r="E987" s="309">
        <f t="shared" ref="E987:E1050" si="41">(($C$982*B987)+($D$982*C987))*(1-D987)*5%</f>
        <v>1.1914049999999998</v>
      </c>
      <c r="F987" s="498"/>
      <c r="G987" s="304">
        <f t="shared" si="40"/>
        <v>55</v>
      </c>
      <c r="H987" s="308"/>
      <c r="I987" s="309">
        <f t="shared" ref="I987:I1032" si="42">E1039</f>
        <v>24.789899999999999</v>
      </c>
    </row>
    <row r="988" spans="1:9" x14ac:dyDescent="0.2">
      <c r="A988" s="304">
        <v>4</v>
      </c>
      <c r="B988" s="304">
        <f t="shared" si="39"/>
        <v>4</v>
      </c>
      <c r="C988" s="756">
        <v>1</v>
      </c>
      <c r="D988" s="308">
        <v>0.25</v>
      </c>
      <c r="E988" s="309">
        <f t="shared" si="41"/>
        <v>1.5260399999999998</v>
      </c>
      <c r="F988" s="498"/>
      <c r="G988" s="304">
        <f t="shared" si="40"/>
        <v>56</v>
      </c>
      <c r="H988" s="308"/>
      <c r="I988" s="309">
        <f t="shared" si="42"/>
        <v>25.236079999999998</v>
      </c>
    </row>
    <row r="989" spans="1:9" x14ac:dyDescent="0.2">
      <c r="A989" s="304">
        <v>5</v>
      </c>
      <c r="B989" s="304">
        <f t="shared" si="39"/>
        <v>5</v>
      </c>
      <c r="C989" s="756">
        <v>1</v>
      </c>
      <c r="D989" s="308">
        <v>0.25</v>
      </c>
      <c r="E989" s="309">
        <f t="shared" si="41"/>
        <v>1.8606749999999999</v>
      </c>
      <c r="F989" s="498"/>
      <c r="G989" s="304">
        <f t="shared" si="40"/>
        <v>57</v>
      </c>
      <c r="H989" s="308"/>
      <c r="I989" s="309">
        <f t="shared" si="42"/>
        <v>25.682259999999999</v>
      </c>
    </row>
    <row r="990" spans="1:9" x14ac:dyDescent="0.2">
      <c r="A990" s="304">
        <v>6</v>
      </c>
      <c r="B990" s="304">
        <f t="shared" si="39"/>
        <v>6</v>
      </c>
      <c r="C990" s="756">
        <v>1</v>
      </c>
      <c r="D990" s="308">
        <v>0.25</v>
      </c>
      <c r="E990" s="309">
        <f t="shared" si="41"/>
        <v>2.1953099999999997</v>
      </c>
      <c r="F990" s="498"/>
      <c r="G990" s="304">
        <f t="shared" si="40"/>
        <v>58</v>
      </c>
      <c r="H990" s="308"/>
      <c r="I990" s="309">
        <f t="shared" si="42"/>
        <v>26.128439999999998</v>
      </c>
    </row>
    <row r="991" spans="1:9" x14ac:dyDescent="0.2">
      <c r="A991" s="304">
        <v>7</v>
      </c>
      <c r="B991" s="304">
        <f t="shared" si="39"/>
        <v>7</v>
      </c>
      <c r="C991" s="756">
        <v>1</v>
      </c>
      <c r="D991" s="308">
        <v>0.25</v>
      </c>
      <c r="E991" s="309">
        <f t="shared" si="41"/>
        <v>2.5299449999999997</v>
      </c>
      <c r="F991" s="498"/>
      <c r="G991" s="304">
        <f t="shared" si="40"/>
        <v>59</v>
      </c>
      <c r="H991" s="308"/>
      <c r="I991" s="309">
        <f t="shared" si="42"/>
        <v>26.574619999999999</v>
      </c>
    </row>
    <row r="992" spans="1:9" x14ac:dyDescent="0.2">
      <c r="A992" s="304">
        <v>8</v>
      </c>
      <c r="B992" s="304">
        <f t="shared" si="39"/>
        <v>8</v>
      </c>
      <c r="C992" s="756">
        <v>1</v>
      </c>
      <c r="D992" s="308">
        <v>0.25</v>
      </c>
      <c r="E992" s="309">
        <f t="shared" si="41"/>
        <v>2.8645799999999997</v>
      </c>
      <c r="F992" s="498"/>
      <c r="G992" s="304">
        <f t="shared" si="40"/>
        <v>60</v>
      </c>
      <c r="H992" s="308"/>
      <c r="I992" s="309">
        <f t="shared" si="42"/>
        <v>27.020799999999998</v>
      </c>
    </row>
    <row r="993" spans="1:9" x14ac:dyDescent="0.2">
      <c r="A993" s="304">
        <v>9</v>
      </c>
      <c r="B993" s="304">
        <f t="shared" si="39"/>
        <v>9</v>
      </c>
      <c r="C993" s="756">
        <v>1</v>
      </c>
      <c r="D993" s="308">
        <v>0.25</v>
      </c>
      <c r="E993" s="309">
        <f t="shared" si="41"/>
        <v>3.1992149999999997</v>
      </c>
      <c r="F993" s="498"/>
      <c r="G993" s="304">
        <f t="shared" si="40"/>
        <v>61</v>
      </c>
      <c r="H993" s="308"/>
      <c r="I993" s="309">
        <f t="shared" si="42"/>
        <v>27.466979999999996</v>
      </c>
    </row>
    <row r="994" spans="1:9" x14ac:dyDescent="0.2">
      <c r="A994" s="304">
        <v>10</v>
      </c>
      <c r="B994" s="304">
        <f t="shared" si="39"/>
        <v>10</v>
      </c>
      <c r="C994" s="756">
        <v>1</v>
      </c>
      <c r="D994" s="308">
        <v>0.25</v>
      </c>
      <c r="E994" s="309">
        <f t="shared" si="41"/>
        <v>3.5338499999999997</v>
      </c>
      <c r="F994" s="498"/>
      <c r="G994" s="304">
        <f t="shared" si="40"/>
        <v>62</v>
      </c>
      <c r="H994" s="308"/>
      <c r="I994" s="309">
        <f t="shared" si="42"/>
        <v>27.913159999999994</v>
      </c>
    </row>
    <row r="995" spans="1:9" x14ac:dyDescent="0.2">
      <c r="A995" s="304">
        <v>11</v>
      </c>
      <c r="B995" s="304">
        <f t="shared" si="39"/>
        <v>11</v>
      </c>
      <c r="C995" s="756">
        <v>1</v>
      </c>
      <c r="D995" s="308">
        <v>0.25</v>
      </c>
      <c r="E995" s="309">
        <f t="shared" si="41"/>
        <v>3.8684849999999997</v>
      </c>
      <c r="F995" s="498"/>
      <c r="G995" s="304">
        <f t="shared" si="40"/>
        <v>63</v>
      </c>
      <c r="H995" s="308"/>
      <c r="I995" s="309">
        <f t="shared" si="42"/>
        <v>28.35934</v>
      </c>
    </row>
    <row r="996" spans="1:9" x14ac:dyDescent="0.2">
      <c r="A996" s="304">
        <v>12</v>
      </c>
      <c r="B996" s="304">
        <f t="shared" si="39"/>
        <v>12</v>
      </c>
      <c r="C996" s="756">
        <v>1</v>
      </c>
      <c r="D996" s="308">
        <v>0.25</v>
      </c>
      <c r="E996" s="309">
        <f t="shared" si="41"/>
        <v>4.2031199999999993</v>
      </c>
      <c r="F996" s="498"/>
      <c r="G996" s="304">
        <f t="shared" si="40"/>
        <v>64</v>
      </c>
      <c r="H996" s="308"/>
      <c r="I996" s="309">
        <f t="shared" si="42"/>
        <v>28.805519999999998</v>
      </c>
    </row>
    <row r="997" spans="1:9" x14ac:dyDescent="0.2">
      <c r="A997" s="304">
        <v>13</v>
      </c>
      <c r="B997" s="304">
        <f t="shared" si="39"/>
        <v>13</v>
      </c>
      <c r="C997" s="756">
        <v>1</v>
      </c>
      <c r="D997" s="308">
        <v>0.25</v>
      </c>
      <c r="E997" s="309">
        <f t="shared" si="41"/>
        <v>4.5377549999999998</v>
      </c>
      <c r="F997" s="498"/>
      <c r="G997" s="304">
        <f t="shared" si="40"/>
        <v>65</v>
      </c>
      <c r="H997" s="308"/>
      <c r="I997" s="309">
        <f t="shared" si="42"/>
        <v>29.251699999999996</v>
      </c>
    </row>
    <row r="998" spans="1:9" x14ac:dyDescent="0.2">
      <c r="A998" s="304">
        <v>14</v>
      </c>
      <c r="B998" s="304">
        <f t="shared" si="39"/>
        <v>14</v>
      </c>
      <c r="C998" s="756">
        <v>1</v>
      </c>
      <c r="D998" s="308">
        <v>0.25</v>
      </c>
      <c r="E998" s="309">
        <f t="shared" si="41"/>
        <v>4.8723899999999993</v>
      </c>
      <c r="F998" s="498"/>
      <c r="G998" s="304">
        <f t="shared" si="40"/>
        <v>66</v>
      </c>
      <c r="H998" s="308"/>
      <c r="I998" s="309">
        <f t="shared" si="42"/>
        <v>29.697879999999998</v>
      </c>
    </row>
    <row r="999" spans="1:9" x14ac:dyDescent="0.2">
      <c r="A999" s="304">
        <v>15</v>
      </c>
      <c r="B999" s="304">
        <f t="shared" si="39"/>
        <v>15</v>
      </c>
      <c r="C999" s="756">
        <v>1</v>
      </c>
      <c r="D999" s="308">
        <v>0.25</v>
      </c>
      <c r="E999" s="309">
        <f t="shared" si="41"/>
        <v>5.2070249999999998</v>
      </c>
      <c r="F999" s="498"/>
      <c r="G999" s="304">
        <f t="shared" si="40"/>
        <v>67</v>
      </c>
      <c r="H999" s="308"/>
      <c r="I999" s="309">
        <f t="shared" si="42"/>
        <v>30.144059999999996</v>
      </c>
    </row>
    <row r="1000" spans="1:9" x14ac:dyDescent="0.2">
      <c r="A1000" s="304">
        <v>16</v>
      </c>
      <c r="B1000" s="304">
        <f t="shared" si="39"/>
        <v>16</v>
      </c>
      <c r="C1000" s="756">
        <v>1</v>
      </c>
      <c r="D1000" s="308">
        <v>0.15</v>
      </c>
      <c r="E1000" s="309">
        <f t="shared" si="41"/>
        <v>6.2805479999999996</v>
      </c>
      <c r="F1000" s="498"/>
      <c r="G1000" s="304">
        <f t="shared" si="40"/>
        <v>68</v>
      </c>
      <c r="H1000" s="308"/>
      <c r="I1000" s="309">
        <f t="shared" si="42"/>
        <v>30.590239999999994</v>
      </c>
    </row>
    <row r="1001" spans="1:9" x14ac:dyDescent="0.2">
      <c r="A1001" s="304">
        <v>17</v>
      </c>
      <c r="B1001" s="304">
        <f t="shared" si="39"/>
        <v>17</v>
      </c>
      <c r="C1001" s="756">
        <v>1</v>
      </c>
      <c r="D1001" s="308">
        <v>0.1</v>
      </c>
      <c r="E1001" s="309">
        <f t="shared" si="41"/>
        <v>7.0515539999999994</v>
      </c>
      <c r="F1001" s="498"/>
      <c r="G1001" s="304">
        <f t="shared" si="40"/>
        <v>69</v>
      </c>
      <c r="H1001" s="308"/>
      <c r="I1001" s="309">
        <f t="shared" si="42"/>
        <v>31.036419999999993</v>
      </c>
    </row>
    <row r="1002" spans="1:9" x14ac:dyDescent="0.2">
      <c r="A1002" s="304">
        <v>18</v>
      </c>
      <c r="B1002" s="304">
        <f t="shared" si="39"/>
        <v>18</v>
      </c>
      <c r="C1002" s="756">
        <v>1</v>
      </c>
      <c r="D1002" s="308">
        <v>0.1</v>
      </c>
      <c r="E1002" s="309">
        <f t="shared" si="41"/>
        <v>7.4531159999999987</v>
      </c>
      <c r="F1002" s="498"/>
      <c r="G1002" s="304">
        <f t="shared" si="40"/>
        <v>70</v>
      </c>
      <c r="H1002" s="308"/>
      <c r="I1002" s="309">
        <f t="shared" si="42"/>
        <v>31.482599999999998</v>
      </c>
    </row>
    <row r="1003" spans="1:9" x14ac:dyDescent="0.2">
      <c r="A1003" s="304">
        <v>19</v>
      </c>
      <c r="B1003" s="304">
        <f t="shared" si="39"/>
        <v>19</v>
      </c>
      <c r="C1003" s="756">
        <v>1</v>
      </c>
      <c r="D1003" s="308">
        <v>0.05</v>
      </c>
      <c r="E1003" s="309">
        <f t="shared" si="41"/>
        <v>8.2910489999999992</v>
      </c>
      <c r="F1003" s="498"/>
      <c r="G1003" s="304">
        <f t="shared" si="40"/>
        <v>71</v>
      </c>
      <c r="H1003" s="308"/>
      <c r="I1003" s="309">
        <f t="shared" si="42"/>
        <v>31.928779999999996</v>
      </c>
    </row>
    <row r="1004" spans="1:9" x14ac:dyDescent="0.2">
      <c r="A1004" s="304">
        <v>20</v>
      </c>
      <c r="B1004" s="304">
        <f t="shared" si="39"/>
        <v>20</v>
      </c>
      <c r="C1004" s="756">
        <v>1</v>
      </c>
      <c r="D1004" s="308">
        <v>0.05</v>
      </c>
      <c r="E1004" s="309">
        <f t="shared" si="41"/>
        <v>8.7149199999999993</v>
      </c>
      <c r="F1004" s="498"/>
      <c r="G1004" s="304">
        <f t="shared" si="40"/>
        <v>72</v>
      </c>
      <c r="H1004" s="308"/>
      <c r="I1004" s="309">
        <f t="shared" si="42"/>
        <v>32.374959999999994</v>
      </c>
    </row>
    <row r="1005" spans="1:9" x14ac:dyDescent="0.2">
      <c r="A1005" s="304">
        <v>21</v>
      </c>
      <c r="B1005" s="304">
        <f t="shared" si="39"/>
        <v>21</v>
      </c>
      <c r="C1005" s="756">
        <v>1</v>
      </c>
      <c r="D1005" s="310"/>
      <c r="E1005" s="309">
        <f t="shared" si="41"/>
        <v>9.6197799999999987</v>
      </c>
      <c r="F1005" s="498"/>
      <c r="G1005" s="304">
        <f t="shared" si="40"/>
        <v>73</v>
      </c>
      <c r="H1005" s="308"/>
      <c r="I1005" s="309">
        <f t="shared" si="42"/>
        <v>32.82114</v>
      </c>
    </row>
    <row r="1006" spans="1:9" x14ac:dyDescent="0.2">
      <c r="A1006" s="304">
        <v>22</v>
      </c>
      <c r="B1006" s="304">
        <f t="shared" si="39"/>
        <v>22</v>
      </c>
      <c r="C1006" s="756">
        <v>1</v>
      </c>
      <c r="D1006" s="305"/>
      <c r="E1006" s="309">
        <f t="shared" si="41"/>
        <v>10.065959999999999</v>
      </c>
      <c r="F1006" s="498"/>
      <c r="G1006" s="304">
        <f t="shared" si="40"/>
        <v>74</v>
      </c>
      <c r="H1006" s="308"/>
      <c r="I1006" s="309">
        <f t="shared" si="42"/>
        <v>33.267319999999998</v>
      </c>
    </row>
    <row r="1007" spans="1:9" x14ac:dyDescent="0.2">
      <c r="A1007" s="304">
        <v>23</v>
      </c>
      <c r="B1007" s="304">
        <f t="shared" si="39"/>
        <v>23</v>
      </c>
      <c r="C1007" s="756">
        <v>1</v>
      </c>
      <c r="D1007" s="305"/>
      <c r="E1007" s="309">
        <f t="shared" si="41"/>
        <v>10.512139999999999</v>
      </c>
      <c r="F1007" s="498"/>
      <c r="G1007" s="304">
        <f t="shared" si="40"/>
        <v>75</v>
      </c>
      <c r="H1007" s="308"/>
      <c r="I1007" s="309">
        <f t="shared" si="42"/>
        <v>33.713499999999996</v>
      </c>
    </row>
    <row r="1008" spans="1:9" x14ac:dyDescent="0.2">
      <c r="A1008" s="304">
        <v>24</v>
      </c>
      <c r="B1008" s="304">
        <f t="shared" si="39"/>
        <v>24</v>
      </c>
      <c r="C1008" s="756">
        <v>1</v>
      </c>
      <c r="D1008" s="305"/>
      <c r="E1008" s="309">
        <f t="shared" si="41"/>
        <v>10.958319999999999</v>
      </c>
      <c r="F1008" s="498"/>
      <c r="G1008" s="304">
        <f t="shared" si="40"/>
        <v>76</v>
      </c>
      <c r="H1008" s="308"/>
      <c r="I1008" s="309">
        <f t="shared" si="42"/>
        <v>34.159680000000002</v>
      </c>
    </row>
    <row r="1009" spans="1:9" x14ac:dyDescent="0.2">
      <c r="A1009" s="304">
        <v>25</v>
      </c>
      <c r="B1009" s="304">
        <f t="shared" si="39"/>
        <v>25</v>
      </c>
      <c r="C1009" s="756">
        <v>1</v>
      </c>
      <c r="D1009" s="305"/>
      <c r="E1009" s="309">
        <f t="shared" si="41"/>
        <v>11.404499999999999</v>
      </c>
      <c r="F1009" s="498"/>
      <c r="G1009" s="304">
        <f t="shared" si="40"/>
        <v>77</v>
      </c>
      <c r="H1009" s="308"/>
      <c r="I1009" s="309">
        <f t="shared" si="42"/>
        <v>34.60586</v>
      </c>
    </row>
    <row r="1010" spans="1:9" x14ac:dyDescent="0.2">
      <c r="A1010" s="304">
        <v>26</v>
      </c>
      <c r="B1010" s="304">
        <f t="shared" si="39"/>
        <v>26</v>
      </c>
      <c r="C1010" s="756">
        <v>1</v>
      </c>
      <c r="D1010" s="305"/>
      <c r="E1010" s="309">
        <f t="shared" si="41"/>
        <v>11.850679999999999</v>
      </c>
      <c r="F1010" s="498"/>
      <c r="G1010" s="304">
        <f t="shared" si="40"/>
        <v>78</v>
      </c>
      <c r="H1010" s="308"/>
      <c r="I1010" s="309">
        <f t="shared" si="42"/>
        <v>35.052039999999998</v>
      </c>
    </row>
    <row r="1011" spans="1:9" x14ac:dyDescent="0.2">
      <c r="A1011" s="304">
        <v>27</v>
      </c>
      <c r="B1011" s="304">
        <f t="shared" si="39"/>
        <v>27</v>
      </c>
      <c r="C1011" s="756">
        <v>1</v>
      </c>
      <c r="D1011" s="305"/>
      <c r="E1011" s="309">
        <f t="shared" si="41"/>
        <v>12.296859999999999</v>
      </c>
      <c r="F1011" s="498"/>
      <c r="G1011" s="304">
        <f t="shared" si="40"/>
        <v>79</v>
      </c>
      <c r="H1011" s="308"/>
      <c r="I1011" s="309">
        <f t="shared" si="42"/>
        <v>35.498219999999996</v>
      </c>
    </row>
    <row r="1012" spans="1:9" x14ac:dyDescent="0.2">
      <c r="A1012" s="304">
        <v>28</v>
      </c>
      <c r="B1012" s="304">
        <f t="shared" si="39"/>
        <v>28</v>
      </c>
      <c r="C1012" s="756">
        <v>1</v>
      </c>
      <c r="D1012" s="305"/>
      <c r="E1012" s="309">
        <f t="shared" si="41"/>
        <v>12.743039999999999</v>
      </c>
      <c r="F1012" s="498"/>
      <c r="G1012" s="304">
        <f t="shared" si="40"/>
        <v>80</v>
      </c>
      <c r="H1012" s="308"/>
      <c r="I1012" s="309">
        <f t="shared" si="42"/>
        <v>35.944399999999995</v>
      </c>
    </row>
    <row r="1013" spans="1:9" x14ac:dyDescent="0.2">
      <c r="A1013" s="304">
        <v>29</v>
      </c>
      <c r="B1013" s="304">
        <f t="shared" si="39"/>
        <v>29</v>
      </c>
      <c r="C1013" s="756">
        <v>1</v>
      </c>
      <c r="D1013" s="305"/>
      <c r="E1013" s="309">
        <f t="shared" si="41"/>
        <v>13.189219999999999</v>
      </c>
      <c r="F1013" s="498"/>
      <c r="G1013" s="304">
        <f t="shared" si="40"/>
        <v>81</v>
      </c>
      <c r="H1013" s="308"/>
      <c r="I1013" s="309">
        <f t="shared" si="42"/>
        <v>36.390579999999993</v>
      </c>
    </row>
    <row r="1014" spans="1:9" x14ac:dyDescent="0.2">
      <c r="A1014" s="304">
        <v>30</v>
      </c>
      <c r="B1014" s="304">
        <f t="shared" si="39"/>
        <v>30</v>
      </c>
      <c r="C1014" s="756">
        <v>1</v>
      </c>
      <c r="D1014" s="305"/>
      <c r="E1014" s="309">
        <f t="shared" si="41"/>
        <v>13.635399999999999</v>
      </c>
      <c r="F1014" s="498"/>
      <c r="G1014" s="304">
        <f t="shared" si="40"/>
        <v>82</v>
      </c>
      <c r="H1014" s="308"/>
      <c r="I1014" s="309">
        <f t="shared" si="42"/>
        <v>36.836759999999991</v>
      </c>
    </row>
    <row r="1015" spans="1:9" x14ac:dyDescent="0.2">
      <c r="A1015" s="304">
        <v>31</v>
      </c>
      <c r="B1015" s="304">
        <f t="shared" si="39"/>
        <v>31</v>
      </c>
      <c r="C1015" s="756">
        <v>1</v>
      </c>
      <c r="D1015" s="305"/>
      <c r="E1015" s="309">
        <f t="shared" si="41"/>
        <v>14.081579999999997</v>
      </c>
      <c r="F1015" s="498"/>
      <c r="G1015" s="304">
        <f t="shared" si="40"/>
        <v>83</v>
      </c>
      <c r="H1015" s="308"/>
      <c r="I1015" s="309">
        <f t="shared" si="42"/>
        <v>37.282939999999996</v>
      </c>
    </row>
    <row r="1016" spans="1:9" x14ac:dyDescent="0.2">
      <c r="A1016" s="304">
        <v>32</v>
      </c>
      <c r="B1016" s="304">
        <f t="shared" si="39"/>
        <v>32</v>
      </c>
      <c r="C1016" s="756">
        <v>1</v>
      </c>
      <c r="D1016" s="305"/>
      <c r="E1016" s="309">
        <f t="shared" si="41"/>
        <v>14.527759999999999</v>
      </c>
      <c r="F1016" s="498"/>
      <c r="G1016" s="304">
        <f t="shared" si="40"/>
        <v>84</v>
      </c>
      <c r="H1016" s="308"/>
      <c r="I1016" s="309">
        <f t="shared" si="42"/>
        <v>37.729119999999995</v>
      </c>
    </row>
    <row r="1017" spans="1:9" x14ac:dyDescent="0.2">
      <c r="A1017" s="304">
        <v>33</v>
      </c>
      <c r="B1017" s="304">
        <f t="shared" si="39"/>
        <v>33</v>
      </c>
      <c r="C1017" s="756">
        <v>1</v>
      </c>
      <c r="D1017" s="305"/>
      <c r="E1017" s="309">
        <f t="shared" si="41"/>
        <v>14.973939999999999</v>
      </c>
      <c r="F1017" s="498"/>
      <c r="G1017" s="304">
        <f t="shared" si="40"/>
        <v>85</v>
      </c>
      <c r="H1017" s="308"/>
      <c r="I1017" s="309">
        <f t="shared" si="42"/>
        <v>38.175299999999993</v>
      </c>
    </row>
    <row r="1018" spans="1:9" x14ac:dyDescent="0.2">
      <c r="A1018" s="304">
        <v>34</v>
      </c>
      <c r="B1018" s="304">
        <f t="shared" si="39"/>
        <v>34</v>
      </c>
      <c r="C1018" s="756">
        <v>1</v>
      </c>
      <c r="D1018" s="305"/>
      <c r="E1018" s="309">
        <f t="shared" si="41"/>
        <v>15.420119999999997</v>
      </c>
      <c r="F1018" s="498"/>
      <c r="G1018" s="304">
        <f t="shared" si="40"/>
        <v>86</v>
      </c>
      <c r="H1018" s="308"/>
      <c r="I1018" s="309">
        <f t="shared" si="42"/>
        <v>38.621479999999998</v>
      </c>
    </row>
    <row r="1019" spans="1:9" x14ac:dyDescent="0.2">
      <c r="A1019" s="304">
        <v>35</v>
      </c>
      <c r="B1019" s="304">
        <f t="shared" si="39"/>
        <v>35</v>
      </c>
      <c r="C1019" s="756">
        <v>1</v>
      </c>
      <c r="D1019" s="305"/>
      <c r="E1019" s="309">
        <f t="shared" si="41"/>
        <v>15.866299999999999</v>
      </c>
      <c r="F1019" s="498"/>
      <c r="G1019" s="304">
        <f t="shared" si="40"/>
        <v>87</v>
      </c>
      <c r="H1019" s="308"/>
      <c r="I1019" s="309">
        <f t="shared" si="42"/>
        <v>39.067659999999997</v>
      </c>
    </row>
    <row r="1020" spans="1:9" x14ac:dyDescent="0.2">
      <c r="A1020" s="304">
        <v>36</v>
      </c>
      <c r="B1020" s="304">
        <f t="shared" si="39"/>
        <v>36</v>
      </c>
      <c r="C1020" s="756">
        <v>1</v>
      </c>
      <c r="D1020" s="305"/>
      <c r="E1020" s="309">
        <f t="shared" si="41"/>
        <v>16.312479999999997</v>
      </c>
      <c r="F1020" s="498"/>
      <c r="G1020" s="304">
        <f t="shared" si="40"/>
        <v>88</v>
      </c>
      <c r="H1020" s="308"/>
      <c r="I1020" s="309">
        <f t="shared" si="42"/>
        <v>39.513839999999995</v>
      </c>
    </row>
    <row r="1021" spans="1:9" x14ac:dyDescent="0.2">
      <c r="A1021" s="304">
        <v>37</v>
      </c>
      <c r="B1021" s="304">
        <f t="shared" si="39"/>
        <v>37</v>
      </c>
      <c r="C1021" s="756">
        <v>1</v>
      </c>
      <c r="D1021" s="305"/>
      <c r="E1021" s="309">
        <f t="shared" si="41"/>
        <v>16.758659999999999</v>
      </c>
      <c r="F1021" s="498"/>
      <c r="G1021" s="304">
        <f t="shared" si="40"/>
        <v>89</v>
      </c>
      <c r="H1021" s="308"/>
      <c r="I1021" s="309">
        <f t="shared" si="42"/>
        <v>39.960019999999993</v>
      </c>
    </row>
    <row r="1022" spans="1:9" x14ac:dyDescent="0.2">
      <c r="A1022" s="304">
        <v>38</v>
      </c>
      <c r="B1022" s="304">
        <f t="shared" si="39"/>
        <v>38</v>
      </c>
      <c r="C1022" s="756">
        <v>1</v>
      </c>
      <c r="D1022" s="305"/>
      <c r="E1022" s="309">
        <f t="shared" si="41"/>
        <v>17.204840000000001</v>
      </c>
      <c r="F1022" s="498"/>
      <c r="G1022" s="304">
        <f t="shared" si="40"/>
        <v>90</v>
      </c>
      <c r="H1022" s="308"/>
      <c r="I1022" s="309">
        <f t="shared" si="42"/>
        <v>40.406199999999998</v>
      </c>
    </row>
    <row r="1023" spans="1:9" x14ac:dyDescent="0.2">
      <c r="A1023" s="304">
        <v>39</v>
      </c>
      <c r="B1023" s="304">
        <f t="shared" si="39"/>
        <v>39</v>
      </c>
      <c r="C1023" s="756">
        <v>1</v>
      </c>
      <c r="D1023" s="305"/>
      <c r="E1023" s="309">
        <f t="shared" si="41"/>
        <v>17.651019999999999</v>
      </c>
      <c r="F1023" s="498"/>
      <c r="G1023" s="304">
        <f t="shared" si="40"/>
        <v>91</v>
      </c>
      <c r="H1023" s="308"/>
      <c r="I1023" s="309">
        <f t="shared" si="42"/>
        <v>40.852379999999997</v>
      </c>
    </row>
    <row r="1024" spans="1:9" x14ac:dyDescent="0.2">
      <c r="A1024" s="304">
        <v>40</v>
      </c>
      <c r="B1024" s="304">
        <f t="shared" si="39"/>
        <v>40</v>
      </c>
      <c r="C1024" s="756">
        <v>1</v>
      </c>
      <c r="D1024" s="305"/>
      <c r="E1024" s="309">
        <f t="shared" si="41"/>
        <v>18.097199999999997</v>
      </c>
      <c r="F1024" s="498"/>
      <c r="G1024" s="304">
        <f t="shared" si="40"/>
        <v>92</v>
      </c>
      <c r="H1024" s="308"/>
      <c r="I1024" s="309">
        <f t="shared" si="42"/>
        <v>41.298559999999995</v>
      </c>
    </row>
    <row r="1025" spans="1:9" x14ac:dyDescent="0.2">
      <c r="A1025" s="304">
        <v>41</v>
      </c>
      <c r="B1025" s="304">
        <f t="shared" si="39"/>
        <v>41</v>
      </c>
      <c r="C1025" s="756">
        <v>1</v>
      </c>
      <c r="D1025" s="305"/>
      <c r="E1025" s="309">
        <f t="shared" si="41"/>
        <v>18.543379999999996</v>
      </c>
      <c r="F1025" s="498"/>
      <c r="G1025" s="304">
        <f t="shared" si="40"/>
        <v>93</v>
      </c>
      <c r="H1025" s="308"/>
      <c r="I1025" s="309">
        <f t="shared" si="42"/>
        <v>41.74474</v>
      </c>
    </row>
    <row r="1026" spans="1:9" x14ac:dyDescent="0.2">
      <c r="A1026" s="304">
        <v>42</v>
      </c>
      <c r="B1026" s="304">
        <f t="shared" si="39"/>
        <v>42</v>
      </c>
      <c r="C1026" s="756">
        <v>1</v>
      </c>
      <c r="D1026" s="305"/>
      <c r="E1026" s="309">
        <f t="shared" si="41"/>
        <v>18.989559999999997</v>
      </c>
      <c r="F1026" s="498"/>
      <c r="G1026" s="304">
        <f t="shared" si="40"/>
        <v>94</v>
      </c>
      <c r="H1026" s="308"/>
      <c r="I1026" s="309">
        <f t="shared" si="42"/>
        <v>42.190919999999998</v>
      </c>
    </row>
    <row r="1027" spans="1:9" x14ac:dyDescent="0.2">
      <c r="A1027" s="304">
        <v>43</v>
      </c>
      <c r="B1027" s="304">
        <f t="shared" si="39"/>
        <v>43</v>
      </c>
      <c r="C1027" s="756">
        <v>1</v>
      </c>
      <c r="D1027" s="305"/>
      <c r="E1027" s="309">
        <f t="shared" si="41"/>
        <v>19.435739999999999</v>
      </c>
      <c r="F1027" s="498"/>
      <c r="G1027" s="304">
        <f t="shared" si="40"/>
        <v>95</v>
      </c>
      <c r="H1027" s="308"/>
      <c r="I1027" s="309">
        <f t="shared" si="42"/>
        <v>42.637099999999997</v>
      </c>
    </row>
    <row r="1028" spans="1:9" x14ac:dyDescent="0.2">
      <c r="A1028" s="304">
        <v>44</v>
      </c>
      <c r="B1028" s="304">
        <f t="shared" si="39"/>
        <v>44</v>
      </c>
      <c r="C1028" s="756">
        <v>1</v>
      </c>
      <c r="D1028" s="305"/>
      <c r="E1028" s="309">
        <f t="shared" si="41"/>
        <v>19.881919999999997</v>
      </c>
      <c r="F1028" s="498"/>
      <c r="G1028" s="304">
        <f t="shared" si="40"/>
        <v>96</v>
      </c>
      <c r="H1028" s="308"/>
      <c r="I1028" s="309">
        <f t="shared" si="42"/>
        <v>43.083279999999995</v>
      </c>
    </row>
    <row r="1029" spans="1:9" x14ac:dyDescent="0.2">
      <c r="A1029" s="304">
        <v>45</v>
      </c>
      <c r="B1029" s="304">
        <f t="shared" si="39"/>
        <v>45</v>
      </c>
      <c r="C1029" s="756">
        <v>1</v>
      </c>
      <c r="D1029" s="305"/>
      <c r="E1029" s="309">
        <f t="shared" si="41"/>
        <v>20.328099999999999</v>
      </c>
      <c r="F1029" s="498"/>
      <c r="G1029" s="304">
        <f t="shared" si="40"/>
        <v>97</v>
      </c>
      <c r="H1029" s="308"/>
      <c r="I1029" s="309">
        <f t="shared" si="42"/>
        <v>43.52946</v>
      </c>
    </row>
    <row r="1030" spans="1:9" x14ac:dyDescent="0.2">
      <c r="A1030" s="304">
        <v>46</v>
      </c>
      <c r="B1030" s="304">
        <f t="shared" si="39"/>
        <v>46</v>
      </c>
      <c r="C1030" s="756">
        <v>1</v>
      </c>
      <c r="D1030" s="305"/>
      <c r="E1030" s="309">
        <f t="shared" si="41"/>
        <v>20.774279999999997</v>
      </c>
      <c r="F1030" s="498"/>
      <c r="G1030" s="304">
        <f t="shared" si="40"/>
        <v>98</v>
      </c>
      <c r="H1030" s="308"/>
      <c r="I1030" s="309">
        <f t="shared" si="42"/>
        <v>43.975639999999999</v>
      </c>
    </row>
    <row r="1031" spans="1:9" x14ac:dyDescent="0.2">
      <c r="A1031" s="304">
        <v>47</v>
      </c>
      <c r="B1031" s="304">
        <f t="shared" si="39"/>
        <v>47</v>
      </c>
      <c r="C1031" s="756">
        <v>1</v>
      </c>
      <c r="D1031" s="305"/>
      <c r="E1031" s="309">
        <f t="shared" si="41"/>
        <v>21.220459999999999</v>
      </c>
      <c r="F1031" s="498"/>
      <c r="G1031" s="304">
        <f t="shared" si="40"/>
        <v>99</v>
      </c>
      <c r="H1031" s="308"/>
      <c r="I1031" s="309">
        <f t="shared" si="42"/>
        <v>44.421819999999997</v>
      </c>
    </row>
    <row r="1032" spans="1:9" x14ac:dyDescent="0.2">
      <c r="A1032" s="304">
        <v>48</v>
      </c>
      <c r="B1032" s="304">
        <f t="shared" si="39"/>
        <v>48</v>
      </c>
      <c r="C1032" s="756">
        <v>1</v>
      </c>
      <c r="D1032" s="305"/>
      <c r="E1032" s="309">
        <f t="shared" si="41"/>
        <v>21.666639999999997</v>
      </c>
      <c r="F1032" s="498"/>
      <c r="G1032" s="304">
        <f t="shared" si="40"/>
        <v>100</v>
      </c>
      <c r="H1032" s="308"/>
      <c r="I1032" s="309">
        <f t="shared" si="42"/>
        <v>44.867999999999995</v>
      </c>
    </row>
    <row r="1033" spans="1:9" x14ac:dyDescent="0.2">
      <c r="A1033" s="304">
        <v>49</v>
      </c>
      <c r="B1033" s="304">
        <f t="shared" si="39"/>
        <v>49</v>
      </c>
      <c r="C1033" s="756">
        <v>1</v>
      </c>
      <c r="D1033" s="305"/>
      <c r="E1033" s="309">
        <f t="shared" si="41"/>
        <v>22.112819999999999</v>
      </c>
      <c r="F1033" s="498"/>
      <c r="G1033" s="499"/>
    </row>
    <row r="1034" spans="1:9" x14ac:dyDescent="0.2">
      <c r="A1034" s="304">
        <v>50</v>
      </c>
      <c r="B1034" s="304">
        <f t="shared" si="39"/>
        <v>50</v>
      </c>
      <c r="C1034" s="756">
        <v>1</v>
      </c>
      <c r="D1034" s="305"/>
      <c r="E1034" s="309">
        <f t="shared" si="41"/>
        <v>22.558999999999997</v>
      </c>
      <c r="F1034" s="502"/>
      <c r="G1034" s="502" t="s">
        <v>4</v>
      </c>
    </row>
    <row r="1035" spans="1:9" x14ac:dyDescent="0.2">
      <c r="A1035" s="304">
        <v>51</v>
      </c>
      <c r="B1035" s="304">
        <f t="shared" si="39"/>
        <v>51</v>
      </c>
      <c r="C1035" s="756">
        <v>1</v>
      </c>
      <c r="D1035" s="305"/>
      <c r="E1035" s="309">
        <f t="shared" si="41"/>
        <v>23.005179999999996</v>
      </c>
      <c r="F1035" s="502"/>
      <c r="G1035" s="502"/>
    </row>
    <row r="1036" spans="1:9" x14ac:dyDescent="0.2">
      <c r="A1036" s="304">
        <v>52</v>
      </c>
      <c r="B1036" s="304">
        <f t="shared" si="39"/>
        <v>52</v>
      </c>
      <c r="C1036" s="756">
        <v>1</v>
      </c>
      <c r="D1036" s="305"/>
      <c r="E1036" s="309">
        <f t="shared" si="41"/>
        <v>23.451359999999998</v>
      </c>
      <c r="F1036" s="502"/>
      <c r="G1036" s="502" t="s">
        <v>14</v>
      </c>
    </row>
    <row r="1037" spans="1:9" x14ac:dyDescent="0.2">
      <c r="A1037" s="304">
        <v>53</v>
      </c>
      <c r="B1037" s="304">
        <f t="shared" si="39"/>
        <v>53</v>
      </c>
      <c r="C1037" s="756">
        <v>1</v>
      </c>
      <c r="D1037" s="305"/>
      <c r="E1037" s="309">
        <f t="shared" si="41"/>
        <v>23.897539999999996</v>
      </c>
      <c r="F1037" s="502"/>
      <c r="G1037" s="502" t="s">
        <v>217</v>
      </c>
    </row>
    <row r="1038" spans="1:9" x14ac:dyDescent="0.2">
      <c r="A1038" s="304">
        <v>54</v>
      </c>
      <c r="B1038" s="304">
        <f t="shared" si="39"/>
        <v>54</v>
      </c>
      <c r="C1038" s="756">
        <v>1</v>
      </c>
      <c r="D1038" s="305"/>
      <c r="E1038" s="309">
        <f t="shared" si="41"/>
        <v>24.343719999999998</v>
      </c>
      <c r="F1038" s="564"/>
      <c r="G1038" s="760"/>
      <c r="H1038" s="76"/>
      <c r="I1038" s="764"/>
    </row>
    <row r="1039" spans="1:9" x14ac:dyDescent="0.2">
      <c r="A1039" s="304">
        <v>55</v>
      </c>
      <c r="B1039" s="304">
        <f t="shared" si="39"/>
        <v>55</v>
      </c>
      <c r="C1039" s="756">
        <v>1</v>
      </c>
      <c r="D1039" s="305"/>
      <c r="E1039" s="309">
        <f t="shared" si="41"/>
        <v>24.789899999999999</v>
      </c>
      <c r="F1039" s="759"/>
      <c r="G1039" s="760"/>
      <c r="H1039" s="76"/>
      <c r="I1039" s="764"/>
    </row>
    <row r="1040" spans="1:9" x14ac:dyDescent="0.2">
      <c r="A1040" s="304">
        <v>56</v>
      </c>
      <c r="B1040" s="304">
        <f t="shared" si="39"/>
        <v>56</v>
      </c>
      <c r="C1040" s="756">
        <v>1</v>
      </c>
      <c r="D1040" s="305"/>
      <c r="E1040" s="309">
        <f t="shared" si="41"/>
        <v>25.236079999999998</v>
      </c>
      <c r="F1040" s="759"/>
      <c r="G1040" s="760"/>
      <c r="H1040" s="76"/>
      <c r="I1040" s="764"/>
    </row>
    <row r="1041" spans="1:9" x14ac:dyDescent="0.2">
      <c r="A1041" s="304">
        <v>57</v>
      </c>
      <c r="B1041" s="304">
        <f t="shared" si="39"/>
        <v>57</v>
      </c>
      <c r="C1041" s="756">
        <v>1</v>
      </c>
      <c r="D1041" s="305"/>
      <c r="E1041" s="309">
        <f t="shared" si="41"/>
        <v>25.682259999999999</v>
      </c>
      <c r="F1041" s="759"/>
      <c r="G1041" s="760"/>
      <c r="H1041" s="76"/>
      <c r="I1041" s="764"/>
    </row>
    <row r="1042" spans="1:9" x14ac:dyDescent="0.2">
      <c r="A1042" s="304">
        <v>58</v>
      </c>
      <c r="B1042" s="304">
        <f t="shared" si="39"/>
        <v>58</v>
      </c>
      <c r="C1042" s="756">
        <v>1</v>
      </c>
      <c r="D1042" s="305"/>
      <c r="E1042" s="309">
        <f t="shared" si="41"/>
        <v>26.128439999999998</v>
      </c>
      <c r="F1042" s="759"/>
      <c r="G1042" s="760"/>
      <c r="H1042" s="76"/>
      <c r="I1042" s="764"/>
    </row>
    <row r="1043" spans="1:9" x14ac:dyDescent="0.2">
      <c r="A1043" s="304">
        <v>59</v>
      </c>
      <c r="B1043" s="304">
        <f t="shared" si="39"/>
        <v>59</v>
      </c>
      <c r="C1043" s="756">
        <v>1</v>
      </c>
      <c r="D1043" s="305"/>
      <c r="E1043" s="309">
        <f t="shared" si="41"/>
        <v>26.574619999999999</v>
      </c>
      <c r="F1043" s="759"/>
      <c r="G1043" s="760"/>
      <c r="H1043" s="76"/>
      <c r="I1043" s="764"/>
    </row>
    <row r="1044" spans="1:9" x14ac:dyDescent="0.2">
      <c r="A1044" s="304">
        <v>60</v>
      </c>
      <c r="B1044" s="304">
        <f t="shared" si="39"/>
        <v>60</v>
      </c>
      <c r="C1044" s="756">
        <v>1</v>
      </c>
      <c r="D1044" s="305"/>
      <c r="E1044" s="309">
        <f t="shared" si="41"/>
        <v>27.020799999999998</v>
      </c>
      <c r="F1044" s="759"/>
      <c r="G1044" s="760"/>
      <c r="H1044" s="76"/>
      <c r="I1044" s="764"/>
    </row>
    <row r="1045" spans="1:9" x14ac:dyDescent="0.2">
      <c r="A1045" s="304">
        <v>61</v>
      </c>
      <c r="B1045" s="304">
        <f t="shared" si="39"/>
        <v>61</v>
      </c>
      <c r="C1045" s="756">
        <v>1</v>
      </c>
      <c r="D1045" s="305"/>
      <c r="E1045" s="309">
        <f t="shared" si="41"/>
        <v>27.466979999999996</v>
      </c>
      <c r="F1045" s="759"/>
      <c r="G1045" s="760"/>
      <c r="H1045" s="76"/>
      <c r="I1045" s="764"/>
    </row>
    <row r="1046" spans="1:9" x14ac:dyDescent="0.2">
      <c r="A1046" s="304">
        <v>62</v>
      </c>
      <c r="B1046" s="304">
        <f t="shared" si="39"/>
        <v>62</v>
      </c>
      <c r="C1046" s="756">
        <v>1</v>
      </c>
      <c r="D1046" s="305"/>
      <c r="E1046" s="309">
        <f t="shared" si="41"/>
        <v>27.913159999999994</v>
      </c>
      <c r="F1046" s="759"/>
      <c r="G1046" s="760"/>
      <c r="H1046" s="76"/>
      <c r="I1046" s="764"/>
    </row>
    <row r="1047" spans="1:9" x14ac:dyDescent="0.2">
      <c r="A1047" s="304">
        <v>63</v>
      </c>
      <c r="B1047" s="304">
        <f t="shared" si="39"/>
        <v>63</v>
      </c>
      <c r="C1047" s="756">
        <v>1</v>
      </c>
      <c r="D1047" s="305"/>
      <c r="E1047" s="309">
        <f t="shared" si="41"/>
        <v>28.35934</v>
      </c>
      <c r="F1047" s="759"/>
      <c r="G1047" s="760"/>
      <c r="H1047" s="76"/>
      <c r="I1047" s="764"/>
    </row>
    <row r="1048" spans="1:9" x14ac:dyDescent="0.2">
      <c r="A1048" s="304">
        <v>64</v>
      </c>
      <c r="B1048" s="304">
        <f t="shared" si="39"/>
        <v>64</v>
      </c>
      <c r="C1048" s="756">
        <v>1</v>
      </c>
      <c r="D1048" s="305"/>
      <c r="E1048" s="309">
        <f t="shared" si="41"/>
        <v>28.805519999999998</v>
      </c>
      <c r="F1048" s="759"/>
      <c r="G1048" s="760"/>
      <c r="H1048" s="76"/>
      <c r="I1048" s="764"/>
    </row>
    <row r="1049" spans="1:9" x14ac:dyDescent="0.2">
      <c r="A1049" s="304">
        <v>65</v>
      </c>
      <c r="B1049" s="304">
        <f t="shared" si="39"/>
        <v>65</v>
      </c>
      <c r="C1049" s="756">
        <v>1</v>
      </c>
      <c r="D1049" s="305"/>
      <c r="E1049" s="309">
        <f t="shared" si="41"/>
        <v>29.251699999999996</v>
      </c>
      <c r="F1049" s="759"/>
      <c r="G1049" s="760"/>
      <c r="H1049" s="76"/>
      <c r="I1049" s="764"/>
    </row>
    <row r="1050" spans="1:9" x14ac:dyDescent="0.2">
      <c r="A1050" s="304">
        <v>66</v>
      </c>
      <c r="B1050" s="304">
        <f t="shared" ref="B1050:B1084" si="43">A1050*C1050</f>
        <v>66</v>
      </c>
      <c r="C1050" s="756">
        <v>1</v>
      </c>
      <c r="D1050" s="305"/>
      <c r="E1050" s="309">
        <f t="shared" si="41"/>
        <v>29.697879999999998</v>
      </c>
      <c r="F1050" s="759"/>
      <c r="G1050" s="760"/>
      <c r="H1050" s="76"/>
      <c r="I1050" s="764"/>
    </row>
    <row r="1051" spans="1:9" x14ac:dyDescent="0.2">
      <c r="A1051" s="304">
        <v>67</v>
      </c>
      <c r="B1051" s="304">
        <f t="shared" si="43"/>
        <v>67</v>
      </c>
      <c r="C1051" s="756">
        <v>1</v>
      </c>
      <c r="D1051" s="305"/>
      <c r="E1051" s="309">
        <f t="shared" ref="E1051:E1084" si="44">(($C$982*B1051)+($D$982*C1051))*(1-D1051)*5%</f>
        <v>30.144059999999996</v>
      </c>
      <c r="F1051" s="759"/>
      <c r="G1051" s="760"/>
      <c r="H1051" s="76"/>
      <c r="I1051" s="764"/>
    </row>
    <row r="1052" spans="1:9" x14ac:dyDescent="0.2">
      <c r="A1052" s="304">
        <v>68</v>
      </c>
      <c r="B1052" s="304">
        <f t="shared" si="43"/>
        <v>68</v>
      </c>
      <c r="C1052" s="756">
        <v>1</v>
      </c>
      <c r="D1052" s="305"/>
      <c r="E1052" s="309">
        <f t="shared" si="44"/>
        <v>30.590239999999994</v>
      </c>
      <c r="F1052" s="759"/>
      <c r="G1052" s="760"/>
      <c r="H1052" s="76"/>
      <c r="I1052" s="764"/>
    </row>
    <row r="1053" spans="1:9" x14ac:dyDescent="0.2">
      <c r="A1053" s="304">
        <v>69</v>
      </c>
      <c r="B1053" s="304">
        <f t="shared" si="43"/>
        <v>69</v>
      </c>
      <c r="C1053" s="756">
        <v>1</v>
      </c>
      <c r="D1053" s="305"/>
      <c r="E1053" s="309">
        <f t="shared" si="44"/>
        <v>31.036419999999993</v>
      </c>
      <c r="F1053" s="759"/>
      <c r="G1053" s="760"/>
      <c r="H1053" s="76"/>
      <c r="I1053" s="764"/>
    </row>
    <row r="1054" spans="1:9" x14ac:dyDescent="0.2">
      <c r="A1054" s="304">
        <v>70</v>
      </c>
      <c r="B1054" s="304">
        <f t="shared" si="43"/>
        <v>70</v>
      </c>
      <c r="C1054" s="756">
        <v>1</v>
      </c>
      <c r="D1054" s="305"/>
      <c r="E1054" s="309">
        <f t="shared" si="44"/>
        <v>31.482599999999998</v>
      </c>
      <c r="F1054" s="759"/>
      <c r="G1054" s="760"/>
      <c r="H1054" s="76"/>
      <c r="I1054" s="764"/>
    </row>
    <row r="1055" spans="1:9" x14ac:dyDescent="0.2">
      <c r="A1055" s="304">
        <v>71</v>
      </c>
      <c r="B1055" s="304">
        <f t="shared" si="43"/>
        <v>71</v>
      </c>
      <c r="C1055" s="756">
        <v>1</v>
      </c>
      <c r="D1055" s="305"/>
      <c r="E1055" s="309">
        <f t="shared" si="44"/>
        <v>31.928779999999996</v>
      </c>
      <c r="F1055" s="759"/>
      <c r="G1055" s="760"/>
      <c r="H1055" s="76"/>
      <c r="I1055" s="764"/>
    </row>
    <row r="1056" spans="1:9" x14ac:dyDescent="0.2">
      <c r="A1056" s="304">
        <v>72</v>
      </c>
      <c r="B1056" s="304">
        <f t="shared" si="43"/>
        <v>72</v>
      </c>
      <c r="C1056" s="756">
        <v>1</v>
      </c>
      <c r="D1056" s="305"/>
      <c r="E1056" s="309">
        <f t="shared" si="44"/>
        <v>32.374959999999994</v>
      </c>
      <c r="F1056" s="759"/>
      <c r="G1056" s="760"/>
      <c r="H1056" s="76"/>
      <c r="I1056" s="764"/>
    </row>
    <row r="1057" spans="1:9" x14ac:dyDescent="0.2">
      <c r="A1057" s="304">
        <v>73</v>
      </c>
      <c r="B1057" s="304">
        <f t="shared" si="43"/>
        <v>73</v>
      </c>
      <c r="C1057" s="756">
        <v>1</v>
      </c>
      <c r="D1057" s="305"/>
      <c r="E1057" s="309">
        <f t="shared" si="44"/>
        <v>32.82114</v>
      </c>
      <c r="F1057" s="759"/>
      <c r="G1057" s="760"/>
      <c r="H1057" s="76"/>
      <c r="I1057" s="764"/>
    </row>
    <row r="1058" spans="1:9" x14ac:dyDescent="0.2">
      <c r="A1058" s="304">
        <v>74</v>
      </c>
      <c r="B1058" s="304">
        <f t="shared" si="43"/>
        <v>74</v>
      </c>
      <c r="C1058" s="756">
        <v>1</v>
      </c>
      <c r="D1058" s="305"/>
      <c r="E1058" s="309">
        <f t="shared" si="44"/>
        <v>33.267319999999998</v>
      </c>
      <c r="F1058" s="759"/>
      <c r="G1058" s="760"/>
      <c r="H1058" s="76"/>
      <c r="I1058" s="764"/>
    </row>
    <row r="1059" spans="1:9" x14ac:dyDescent="0.2">
      <c r="A1059" s="304">
        <v>75</v>
      </c>
      <c r="B1059" s="304">
        <f t="shared" si="43"/>
        <v>75</v>
      </c>
      <c r="C1059" s="756">
        <v>1</v>
      </c>
      <c r="D1059" s="305"/>
      <c r="E1059" s="309">
        <f t="shared" si="44"/>
        <v>33.713499999999996</v>
      </c>
      <c r="F1059" s="759"/>
      <c r="G1059" s="760"/>
      <c r="H1059" s="76"/>
      <c r="I1059" s="764"/>
    </row>
    <row r="1060" spans="1:9" x14ac:dyDescent="0.2">
      <c r="A1060" s="304">
        <v>76</v>
      </c>
      <c r="B1060" s="304">
        <f t="shared" si="43"/>
        <v>76</v>
      </c>
      <c r="C1060" s="756">
        <v>1</v>
      </c>
      <c r="D1060" s="305"/>
      <c r="E1060" s="309">
        <f t="shared" si="44"/>
        <v>34.159680000000002</v>
      </c>
      <c r="F1060" s="759"/>
      <c r="G1060" s="760"/>
      <c r="H1060" s="76"/>
      <c r="I1060" s="764"/>
    </row>
    <row r="1061" spans="1:9" x14ac:dyDescent="0.2">
      <c r="A1061" s="304">
        <v>77</v>
      </c>
      <c r="B1061" s="304">
        <f t="shared" si="43"/>
        <v>77</v>
      </c>
      <c r="C1061" s="756">
        <v>1</v>
      </c>
      <c r="D1061" s="305"/>
      <c r="E1061" s="309">
        <f t="shared" si="44"/>
        <v>34.60586</v>
      </c>
      <c r="F1061" s="759"/>
      <c r="G1061" s="760"/>
      <c r="H1061" s="76"/>
      <c r="I1061" s="764"/>
    </row>
    <row r="1062" spans="1:9" x14ac:dyDescent="0.2">
      <c r="A1062" s="304">
        <v>78</v>
      </c>
      <c r="B1062" s="304">
        <f t="shared" si="43"/>
        <v>78</v>
      </c>
      <c r="C1062" s="756">
        <v>1</v>
      </c>
      <c r="D1062" s="305"/>
      <c r="E1062" s="309">
        <f t="shared" si="44"/>
        <v>35.052039999999998</v>
      </c>
      <c r="F1062" s="759"/>
      <c r="G1062" s="760"/>
      <c r="H1062" s="76"/>
      <c r="I1062" s="764"/>
    </row>
    <row r="1063" spans="1:9" x14ac:dyDescent="0.2">
      <c r="A1063" s="304">
        <v>79</v>
      </c>
      <c r="B1063" s="304">
        <f t="shared" si="43"/>
        <v>79</v>
      </c>
      <c r="C1063" s="756">
        <v>1</v>
      </c>
      <c r="D1063" s="305"/>
      <c r="E1063" s="309">
        <f t="shared" si="44"/>
        <v>35.498219999999996</v>
      </c>
      <c r="F1063" s="759"/>
      <c r="G1063" s="760"/>
      <c r="H1063" s="76"/>
      <c r="I1063" s="764"/>
    </row>
    <row r="1064" spans="1:9" x14ac:dyDescent="0.2">
      <c r="A1064" s="304">
        <v>80</v>
      </c>
      <c r="B1064" s="304">
        <f t="shared" si="43"/>
        <v>80</v>
      </c>
      <c r="C1064" s="756">
        <v>1</v>
      </c>
      <c r="D1064" s="305"/>
      <c r="E1064" s="309">
        <f t="shared" si="44"/>
        <v>35.944399999999995</v>
      </c>
      <c r="F1064" s="759"/>
      <c r="G1064" s="760"/>
      <c r="H1064" s="76"/>
      <c r="I1064" s="764"/>
    </row>
    <row r="1065" spans="1:9" x14ac:dyDescent="0.2">
      <c r="A1065" s="304">
        <v>81</v>
      </c>
      <c r="B1065" s="304">
        <f t="shared" si="43"/>
        <v>81</v>
      </c>
      <c r="C1065" s="756">
        <v>1</v>
      </c>
      <c r="D1065" s="305"/>
      <c r="E1065" s="309">
        <f t="shared" si="44"/>
        <v>36.390579999999993</v>
      </c>
      <c r="F1065" s="759"/>
      <c r="G1065" s="760"/>
      <c r="H1065" s="76"/>
      <c r="I1065" s="764"/>
    </row>
    <row r="1066" spans="1:9" x14ac:dyDescent="0.2">
      <c r="A1066" s="304">
        <v>82</v>
      </c>
      <c r="B1066" s="304">
        <f t="shared" si="43"/>
        <v>82</v>
      </c>
      <c r="C1066" s="756">
        <v>1</v>
      </c>
      <c r="D1066" s="305"/>
      <c r="E1066" s="309">
        <f t="shared" si="44"/>
        <v>36.836759999999991</v>
      </c>
      <c r="F1066" s="759"/>
      <c r="G1066" s="760"/>
      <c r="H1066" s="76"/>
      <c r="I1066" s="764"/>
    </row>
    <row r="1067" spans="1:9" x14ac:dyDescent="0.2">
      <c r="A1067" s="304">
        <v>83</v>
      </c>
      <c r="B1067" s="304">
        <f t="shared" si="43"/>
        <v>83</v>
      </c>
      <c r="C1067" s="756">
        <v>1</v>
      </c>
      <c r="D1067" s="305"/>
      <c r="E1067" s="309">
        <f t="shared" si="44"/>
        <v>37.282939999999996</v>
      </c>
      <c r="F1067" s="759"/>
      <c r="G1067" s="760"/>
      <c r="H1067" s="76"/>
      <c r="I1067" s="764"/>
    </row>
    <row r="1068" spans="1:9" x14ac:dyDescent="0.2">
      <c r="A1068" s="304">
        <v>84</v>
      </c>
      <c r="B1068" s="304">
        <f t="shared" si="43"/>
        <v>84</v>
      </c>
      <c r="C1068" s="756">
        <v>1</v>
      </c>
      <c r="D1068" s="305"/>
      <c r="E1068" s="309">
        <f t="shared" si="44"/>
        <v>37.729119999999995</v>
      </c>
      <c r="F1068" s="759"/>
      <c r="G1068" s="760"/>
      <c r="H1068" s="76"/>
      <c r="I1068" s="764"/>
    </row>
    <row r="1069" spans="1:9" x14ac:dyDescent="0.2">
      <c r="A1069" s="304">
        <v>85</v>
      </c>
      <c r="B1069" s="304">
        <f t="shared" si="43"/>
        <v>85</v>
      </c>
      <c r="C1069" s="756">
        <v>1</v>
      </c>
      <c r="D1069" s="305"/>
      <c r="E1069" s="309">
        <f t="shared" si="44"/>
        <v>38.175299999999993</v>
      </c>
      <c r="F1069" s="759"/>
      <c r="G1069" s="760"/>
      <c r="H1069" s="76"/>
      <c r="I1069" s="764"/>
    </row>
    <row r="1070" spans="1:9" x14ac:dyDescent="0.2">
      <c r="A1070" s="304">
        <v>86</v>
      </c>
      <c r="B1070" s="304">
        <f t="shared" si="43"/>
        <v>86</v>
      </c>
      <c r="C1070" s="756">
        <v>1</v>
      </c>
      <c r="D1070" s="305"/>
      <c r="E1070" s="309">
        <f t="shared" si="44"/>
        <v>38.621479999999998</v>
      </c>
      <c r="F1070" s="759"/>
      <c r="G1070" s="760"/>
      <c r="H1070" s="76"/>
      <c r="I1070" s="764"/>
    </row>
    <row r="1071" spans="1:9" x14ac:dyDescent="0.2">
      <c r="A1071" s="304">
        <v>87</v>
      </c>
      <c r="B1071" s="304">
        <f t="shared" si="43"/>
        <v>87</v>
      </c>
      <c r="C1071" s="756">
        <v>1</v>
      </c>
      <c r="D1071" s="305"/>
      <c r="E1071" s="309">
        <f t="shared" si="44"/>
        <v>39.067659999999997</v>
      </c>
      <c r="F1071" s="759"/>
      <c r="G1071" s="760"/>
      <c r="H1071" s="76"/>
      <c r="I1071" s="764"/>
    </row>
    <row r="1072" spans="1:9" x14ac:dyDescent="0.2">
      <c r="A1072" s="304">
        <v>88</v>
      </c>
      <c r="B1072" s="304">
        <f t="shared" si="43"/>
        <v>88</v>
      </c>
      <c r="C1072" s="756">
        <v>1</v>
      </c>
      <c r="D1072" s="305"/>
      <c r="E1072" s="309">
        <f t="shared" si="44"/>
        <v>39.513839999999995</v>
      </c>
      <c r="F1072" s="564" t="s">
        <v>5</v>
      </c>
      <c r="G1072" s="760"/>
      <c r="H1072" s="76"/>
      <c r="I1072" s="764"/>
    </row>
    <row r="1073" spans="1:9" x14ac:dyDescent="0.2">
      <c r="A1073" s="304">
        <v>89</v>
      </c>
      <c r="B1073" s="304">
        <f t="shared" si="43"/>
        <v>89</v>
      </c>
      <c r="C1073" s="756">
        <v>1</v>
      </c>
      <c r="D1073" s="305"/>
      <c r="E1073" s="309">
        <f t="shared" si="44"/>
        <v>39.960019999999993</v>
      </c>
      <c r="F1073" s="564"/>
      <c r="G1073" s="760"/>
      <c r="H1073" s="76"/>
      <c r="I1073" s="764"/>
    </row>
    <row r="1074" spans="1:9" x14ac:dyDescent="0.2">
      <c r="A1074" s="304">
        <v>90</v>
      </c>
      <c r="B1074" s="304">
        <f t="shared" si="43"/>
        <v>90</v>
      </c>
      <c r="C1074" s="756">
        <v>1</v>
      </c>
      <c r="D1074" s="305"/>
      <c r="E1074" s="309">
        <f t="shared" si="44"/>
        <v>40.406199999999998</v>
      </c>
      <c r="F1074" s="564"/>
      <c r="G1074" s="760"/>
      <c r="H1074" s="76"/>
      <c r="I1074" s="764"/>
    </row>
    <row r="1075" spans="1:9" x14ac:dyDescent="0.2">
      <c r="A1075" s="304">
        <v>91</v>
      </c>
      <c r="B1075" s="304">
        <f t="shared" si="43"/>
        <v>91</v>
      </c>
      <c r="C1075" s="756">
        <v>1</v>
      </c>
      <c r="D1075" s="305"/>
      <c r="E1075" s="309">
        <f t="shared" si="44"/>
        <v>40.852379999999997</v>
      </c>
      <c r="F1075" s="564" t="s">
        <v>14</v>
      </c>
      <c r="G1075" s="760"/>
      <c r="H1075" s="76"/>
      <c r="I1075" s="764"/>
    </row>
    <row r="1076" spans="1:9" x14ac:dyDescent="0.2">
      <c r="A1076" s="304">
        <v>92</v>
      </c>
      <c r="B1076" s="304">
        <f t="shared" si="43"/>
        <v>92</v>
      </c>
      <c r="C1076" s="756">
        <v>1</v>
      </c>
      <c r="D1076" s="305"/>
      <c r="E1076" s="309">
        <f t="shared" si="44"/>
        <v>41.298559999999995</v>
      </c>
      <c r="F1076" s="564" t="s">
        <v>217</v>
      </c>
      <c r="G1076" s="760"/>
      <c r="H1076" s="76"/>
      <c r="I1076" s="764"/>
    </row>
    <row r="1077" spans="1:9" x14ac:dyDescent="0.2">
      <c r="A1077" s="304">
        <v>93</v>
      </c>
      <c r="B1077" s="304">
        <f t="shared" si="43"/>
        <v>93</v>
      </c>
      <c r="C1077" s="756">
        <v>1</v>
      </c>
      <c r="D1077" s="305"/>
      <c r="E1077" s="309">
        <f t="shared" si="44"/>
        <v>41.74474</v>
      </c>
      <c r="F1077" s="564"/>
      <c r="G1077" s="760"/>
      <c r="H1077" s="76"/>
      <c r="I1077" s="764"/>
    </row>
    <row r="1078" spans="1:9" x14ac:dyDescent="0.2">
      <c r="A1078" s="304">
        <v>94</v>
      </c>
      <c r="B1078" s="304">
        <f t="shared" si="43"/>
        <v>94</v>
      </c>
      <c r="C1078" s="756">
        <v>1</v>
      </c>
      <c r="D1078" s="305"/>
      <c r="E1078" s="309">
        <f t="shared" si="44"/>
        <v>42.190919999999998</v>
      </c>
      <c r="F1078" s="564"/>
      <c r="G1078" s="760"/>
      <c r="H1078" s="76"/>
      <c r="I1078" s="764"/>
    </row>
    <row r="1079" spans="1:9" x14ac:dyDescent="0.2">
      <c r="A1079" s="304">
        <v>95</v>
      </c>
      <c r="B1079" s="304">
        <f t="shared" si="43"/>
        <v>95</v>
      </c>
      <c r="C1079" s="756">
        <v>1</v>
      </c>
      <c r="D1079" s="305"/>
      <c r="E1079" s="309">
        <f t="shared" si="44"/>
        <v>42.637099999999997</v>
      </c>
      <c r="F1079" s="564"/>
      <c r="G1079" s="760"/>
      <c r="H1079" s="76"/>
      <c r="I1079" s="764"/>
    </row>
    <row r="1080" spans="1:9" x14ac:dyDescent="0.2">
      <c r="A1080" s="304">
        <v>96</v>
      </c>
      <c r="B1080" s="304">
        <f t="shared" si="43"/>
        <v>96</v>
      </c>
      <c r="C1080" s="756">
        <v>1</v>
      </c>
      <c r="D1080" s="305"/>
      <c r="E1080" s="309">
        <f t="shared" si="44"/>
        <v>43.083279999999995</v>
      </c>
      <c r="F1080" s="564"/>
      <c r="G1080" s="760"/>
      <c r="H1080" s="76"/>
      <c r="I1080" s="76"/>
    </row>
    <row r="1081" spans="1:9" x14ac:dyDescent="0.2">
      <c r="A1081" s="304">
        <v>97</v>
      </c>
      <c r="B1081" s="304">
        <f t="shared" si="43"/>
        <v>97</v>
      </c>
      <c r="C1081" s="756">
        <v>1</v>
      </c>
      <c r="D1081" s="305"/>
      <c r="E1081" s="309">
        <f t="shared" si="44"/>
        <v>43.52946</v>
      </c>
      <c r="F1081" s="564"/>
      <c r="G1081" s="760"/>
      <c r="H1081" s="76"/>
      <c r="I1081" s="76"/>
    </row>
    <row r="1082" spans="1:9" x14ac:dyDescent="0.2">
      <c r="A1082" s="304">
        <v>98</v>
      </c>
      <c r="B1082" s="304">
        <f t="shared" si="43"/>
        <v>98</v>
      </c>
      <c r="C1082" s="756">
        <v>1</v>
      </c>
      <c r="D1082" s="305"/>
      <c r="E1082" s="309">
        <f t="shared" si="44"/>
        <v>43.975639999999999</v>
      </c>
      <c r="F1082" s="564"/>
      <c r="G1082" s="760"/>
      <c r="H1082" s="76"/>
      <c r="I1082" s="76"/>
    </row>
    <row r="1083" spans="1:9" x14ac:dyDescent="0.2">
      <c r="A1083" s="304">
        <v>99</v>
      </c>
      <c r="B1083" s="304">
        <f t="shared" si="43"/>
        <v>99</v>
      </c>
      <c r="C1083" s="756">
        <v>1</v>
      </c>
      <c r="D1083" s="305"/>
      <c r="E1083" s="309">
        <f t="shared" si="44"/>
        <v>44.421819999999997</v>
      </c>
      <c r="F1083" s="564"/>
      <c r="G1083" s="760"/>
      <c r="H1083" s="76"/>
      <c r="I1083" s="76"/>
    </row>
    <row r="1084" spans="1:9" x14ac:dyDescent="0.2">
      <c r="A1084" s="304">
        <v>100</v>
      </c>
      <c r="B1084" s="304">
        <f t="shared" si="43"/>
        <v>100</v>
      </c>
      <c r="C1084" s="756">
        <v>1</v>
      </c>
      <c r="D1084" s="305"/>
      <c r="E1084" s="309">
        <f t="shared" si="44"/>
        <v>44.867999999999995</v>
      </c>
      <c r="F1084" s="761"/>
      <c r="G1084" s="760"/>
      <c r="H1084" s="76"/>
      <c r="I1084" s="76"/>
    </row>
    <row r="1085" spans="1:9" x14ac:dyDescent="0.2">
      <c r="A1085" t="s">
        <v>207</v>
      </c>
      <c r="B1085" s="423">
        <f>SUM(B985:B1084)</f>
        <v>5050</v>
      </c>
      <c r="C1085"/>
      <c r="D1085"/>
      <c r="E1085" s="312">
        <f>SUM(E985:E1084)</f>
        <v>2260.2710869999996</v>
      </c>
      <c r="F1085" s="76"/>
      <c r="G1085" s="76"/>
      <c r="H1085" s="76"/>
      <c r="I1085" s="76"/>
    </row>
  </sheetData>
  <mergeCells count="43">
    <mergeCell ref="A247:B248"/>
    <mergeCell ref="C247:D247"/>
    <mergeCell ref="A974:B975"/>
    <mergeCell ref="C974:D974"/>
    <mergeCell ref="A733:B734"/>
    <mergeCell ref="C733:D733"/>
    <mergeCell ref="A855:B856"/>
    <mergeCell ref="C855:D855"/>
    <mergeCell ref="A607:B608"/>
    <mergeCell ref="C607:D607"/>
    <mergeCell ref="C368:D368"/>
    <mergeCell ref="A368:B369"/>
    <mergeCell ref="A489:B490"/>
    <mergeCell ref="C489:D489"/>
    <mergeCell ref="C82:F82"/>
    <mergeCell ref="C83:F83"/>
    <mergeCell ref="C81:F81"/>
    <mergeCell ref="G92:G93"/>
    <mergeCell ref="M126:N126"/>
    <mergeCell ref="K126:L127"/>
    <mergeCell ref="C126:D126"/>
    <mergeCell ref="C21:F21"/>
    <mergeCell ref="J8:L8"/>
    <mergeCell ref="B9:B10"/>
    <mergeCell ref="C9:F9"/>
    <mergeCell ref="H9:H10"/>
    <mergeCell ref="C18:F18"/>
    <mergeCell ref="A126:B127"/>
    <mergeCell ref="A92:A94"/>
    <mergeCell ref="A8:A10"/>
    <mergeCell ref="B8:I8"/>
    <mergeCell ref="A68:A70"/>
    <mergeCell ref="B68:E68"/>
    <mergeCell ref="F68:H68"/>
    <mergeCell ref="E69:E70"/>
    <mergeCell ref="B69:B70"/>
    <mergeCell ref="C23:F23"/>
    <mergeCell ref="C19:F19"/>
    <mergeCell ref="C22:F22"/>
    <mergeCell ref="C69:C70"/>
    <mergeCell ref="D69:D70"/>
    <mergeCell ref="B92:D92"/>
    <mergeCell ref="C20:F20"/>
  </mergeCells>
  <pageMargins left="0.70866141732283472" right="0.70866141732283472" top="0" bottom="0.39370078740157483" header="0.15748031496062992" footer="0.31496062992125984"/>
  <pageSetup scale="85" orientation="portrait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3:I66"/>
  <sheetViews>
    <sheetView workbookViewId="0">
      <selection activeCell="G17" sqref="G17"/>
    </sheetView>
  </sheetViews>
  <sheetFormatPr defaultRowHeight="12.75" x14ac:dyDescent="0.2"/>
  <cols>
    <col min="1" max="1" width="2.28515625" customWidth="1"/>
    <col min="2" max="2" width="2.5703125" customWidth="1"/>
    <col min="3" max="3" width="33.28515625" customWidth="1"/>
    <col min="4" max="4" width="11" bestFit="1" customWidth="1"/>
    <col min="6" max="6" width="2.42578125" customWidth="1"/>
    <col min="7" max="7" width="15.140625" customWidth="1"/>
  </cols>
  <sheetData>
    <row r="3" spans="1:9" x14ac:dyDescent="0.2">
      <c r="E3" s="3" t="s">
        <v>15</v>
      </c>
    </row>
    <row r="4" spans="1:9" x14ac:dyDescent="0.2">
      <c r="A4" s="1" t="s">
        <v>16</v>
      </c>
      <c r="D4" s="12" t="s">
        <v>45</v>
      </c>
      <c r="E4" s="12" t="s">
        <v>46</v>
      </c>
      <c r="F4" s="4"/>
      <c r="G4" s="4"/>
      <c r="H4" s="4"/>
      <c r="I4" s="4"/>
    </row>
    <row r="5" spans="1:9" x14ac:dyDescent="0.2">
      <c r="A5" s="11" t="s">
        <v>29</v>
      </c>
      <c r="B5" s="4" t="s">
        <v>28</v>
      </c>
      <c r="C5" s="4"/>
      <c r="D5" s="15"/>
      <c r="E5" s="4"/>
      <c r="F5" s="4"/>
      <c r="G5" s="4"/>
      <c r="H5" s="4"/>
      <c r="I5" s="4"/>
    </row>
    <row r="6" spans="1:9" x14ac:dyDescent="0.2">
      <c r="A6" s="4"/>
      <c r="B6" s="4" t="s">
        <v>17</v>
      </c>
      <c r="C6" s="4" t="s">
        <v>20</v>
      </c>
      <c r="D6" s="15">
        <v>3701523</v>
      </c>
      <c r="E6" s="4"/>
      <c r="F6" s="4"/>
      <c r="G6" s="13">
        <v>13467555.039999999</v>
      </c>
      <c r="H6" s="4"/>
      <c r="I6" s="4"/>
    </row>
    <row r="7" spans="1:9" x14ac:dyDescent="0.2">
      <c r="A7" s="4"/>
      <c r="B7" s="4" t="s">
        <v>18</v>
      </c>
      <c r="C7" s="4" t="s">
        <v>21</v>
      </c>
      <c r="D7" s="15">
        <v>0</v>
      </c>
      <c r="E7" s="14">
        <v>3.6383999999999999</v>
      </c>
      <c r="F7" s="4"/>
      <c r="G7" s="13">
        <f>D7*E7</f>
        <v>0</v>
      </c>
      <c r="H7" s="4"/>
      <c r="I7" s="4"/>
    </row>
    <row r="8" spans="1:9" x14ac:dyDescent="0.2">
      <c r="A8" s="4"/>
      <c r="B8" s="4" t="s">
        <v>19</v>
      </c>
      <c r="C8" s="4" t="s">
        <v>22</v>
      </c>
      <c r="D8" s="15">
        <v>0</v>
      </c>
      <c r="E8" s="14">
        <v>3.7254999999999998</v>
      </c>
      <c r="F8" s="4"/>
      <c r="G8" s="13">
        <f>D8*E8</f>
        <v>0</v>
      </c>
      <c r="H8" s="4"/>
      <c r="I8" s="4"/>
    </row>
    <row r="9" spans="1:9" x14ac:dyDescent="0.2">
      <c r="A9" s="11" t="s">
        <v>30</v>
      </c>
      <c r="B9" s="4" t="s">
        <v>31</v>
      </c>
      <c r="C9" s="4"/>
      <c r="D9" s="15">
        <v>3701523</v>
      </c>
      <c r="E9" s="14">
        <v>1.77E-2</v>
      </c>
      <c r="F9" s="4"/>
      <c r="G9" s="13">
        <f>D9*E9</f>
        <v>65516.9571</v>
      </c>
      <c r="H9" s="4"/>
      <c r="I9" s="4"/>
    </row>
    <row r="10" spans="1:9" x14ac:dyDescent="0.2">
      <c r="C10" s="10" t="s">
        <v>23</v>
      </c>
      <c r="D10" s="4"/>
      <c r="E10" s="4"/>
      <c r="F10" s="4"/>
      <c r="G10" s="16">
        <f>SUM(G6:G9)</f>
        <v>13533071.997099999</v>
      </c>
      <c r="H10" s="4"/>
      <c r="I10" s="4"/>
    </row>
    <row r="11" spans="1:9" x14ac:dyDescent="0.2">
      <c r="D11" s="4"/>
      <c r="E11" s="4"/>
      <c r="F11" s="4"/>
      <c r="G11" s="4"/>
      <c r="H11" s="4"/>
      <c r="I11" s="4"/>
    </row>
    <row r="12" spans="1:9" x14ac:dyDescent="0.2">
      <c r="A12" s="1" t="s">
        <v>24</v>
      </c>
      <c r="D12" s="4"/>
      <c r="E12" s="4"/>
      <c r="F12" s="4"/>
      <c r="G12" s="4"/>
      <c r="H12" s="4"/>
      <c r="I12" s="4"/>
    </row>
    <row r="13" spans="1:9" x14ac:dyDescent="0.2">
      <c r="A13" s="11" t="s">
        <v>29</v>
      </c>
      <c r="B13" s="4" t="s">
        <v>38</v>
      </c>
      <c r="C13" s="4"/>
      <c r="D13" s="4"/>
      <c r="E13" s="4"/>
      <c r="F13" s="4"/>
      <c r="G13" s="4"/>
      <c r="H13" s="4"/>
      <c r="I13" s="4"/>
    </row>
    <row r="14" spans="1:9" x14ac:dyDescent="0.2">
      <c r="A14" s="4"/>
      <c r="B14" s="4" t="s">
        <v>17</v>
      </c>
      <c r="C14" s="4" t="s">
        <v>25</v>
      </c>
      <c r="D14" s="15">
        <v>3701523</v>
      </c>
      <c r="E14" s="4"/>
      <c r="F14" s="4"/>
      <c r="G14" s="4"/>
      <c r="H14" s="4"/>
      <c r="I14" s="4"/>
    </row>
    <row r="15" spans="1:9" x14ac:dyDescent="0.2">
      <c r="A15" s="4"/>
      <c r="B15" s="4" t="s">
        <v>18</v>
      </c>
      <c r="C15" s="4" t="s">
        <v>26</v>
      </c>
      <c r="D15" s="15">
        <v>3701523</v>
      </c>
      <c r="E15" s="4"/>
      <c r="F15" s="4"/>
      <c r="G15" s="4"/>
      <c r="H15" s="4"/>
      <c r="I15" s="4"/>
    </row>
    <row r="16" spans="1:9" x14ac:dyDescent="0.2">
      <c r="A16" s="11" t="s">
        <v>32</v>
      </c>
      <c r="B16" s="4" t="s">
        <v>37</v>
      </c>
      <c r="C16" s="4"/>
      <c r="D16" s="15">
        <v>1149130.3600000001</v>
      </c>
      <c r="E16" s="4"/>
      <c r="F16" s="4"/>
      <c r="G16" s="4"/>
      <c r="H16" s="4"/>
      <c r="I16" s="4"/>
    </row>
    <row r="17" spans="1:9" x14ac:dyDescent="0.2">
      <c r="A17" s="4"/>
      <c r="B17" s="4" t="s">
        <v>27</v>
      </c>
      <c r="C17" s="4"/>
      <c r="D17" s="4"/>
      <c r="E17" s="4"/>
      <c r="F17" s="4"/>
      <c r="G17" s="4"/>
      <c r="H17" s="4"/>
      <c r="I17" s="4"/>
    </row>
    <row r="18" spans="1:9" x14ac:dyDescent="0.2">
      <c r="A18" s="11" t="s">
        <v>33</v>
      </c>
      <c r="B18" s="4" t="s">
        <v>39</v>
      </c>
      <c r="D18" s="4"/>
      <c r="E18" s="4"/>
      <c r="F18" s="4"/>
      <c r="G18" s="4"/>
      <c r="H18" s="4"/>
      <c r="I18" s="4"/>
    </row>
    <row r="19" spans="1:9" x14ac:dyDescent="0.2">
      <c r="A19" s="11" t="s">
        <v>34</v>
      </c>
      <c r="B19" s="4" t="s">
        <v>40</v>
      </c>
      <c r="D19" s="4"/>
      <c r="E19" s="4"/>
      <c r="F19" s="4"/>
      <c r="G19" s="4"/>
      <c r="H19" s="4"/>
      <c r="I19" s="4"/>
    </row>
    <row r="20" spans="1:9" x14ac:dyDescent="0.2">
      <c r="A20" s="11" t="s">
        <v>35</v>
      </c>
      <c r="B20" s="4" t="s">
        <v>41</v>
      </c>
      <c r="D20" s="4"/>
      <c r="E20" s="4"/>
      <c r="F20" s="4"/>
      <c r="G20" s="4"/>
      <c r="H20" s="4"/>
      <c r="I20" s="4"/>
    </row>
    <row r="21" spans="1:9" x14ac:dyDescent="0.2">
      <c r="A21" s="11" t="s">
        <v>36</v>
      </c>
      <c r="B21" s="4" t="s">
        <v>42</v>
      </c>
      <c r="D21" s="4"/>
      <c r="E21" s="4"/>
      <c r="F21" s="4"/>
      <c r="G21" s="4"/>
      <c r="H21" s="4"/>
      <c r="I21" s="4"/>
    </row>
    <row r="22" spans="1:9" x14ac:dyDescent="0.2">
      <c r="A22" s="11" t="s">
        <v>44</v>
      </c>
      <c r="B22" s="4" t="s">
        <v>43</v>
      </c>
      <c r="D22" s="4"/>
      <c r="E22" s="4"/>
      <c r="F22" s="4"/>
      <c r="G22" s="4"/>
      <c r="H22" s="4"/>
      <c r="I22" s="4"/>
    </row>
    <row r="23" spans="1:9" x14ac:dyDescent="0.2">
      <c r="D23" s="4"/>
      <c r="E23" s="4"/>
      <c r="F23" s="4"/>
      <c r="G23" s="4"/>
      <c r="H23" s="4"/>
      <c r="I23" s="4"/>
    </row>
    <row r="24" spans="1:9" x14ac:dyDescent="0.2">
      <c r="D24" s="4"/>
      <c r="E24" s="4"/>
      <c r="F24" s="4"/>
      <c r="G24" s="4"/>
      <c r="H24" s="4"/>
      <c r="I24" s="4"/>
    </row>
    <row r="25" spans="1:9" x14ac:dyDescent="0.2">
      <c r="D25" s="4"/>
      <c r="E25" s="4"/>
      <c r="F25" s="4"/>
      <c r="G25" s="4"/>
      <c r="H25" s="4"/>
      <c r="I25" s="4"/>
    </row>
    <row r="26" spans="1:9" x14ac:dyDescent="0.2">
      <c r="D26" s="4"/>
      <c r="E26" s="4"/>
      <c r="F26" s="4"/>
      <c r="G26" s="4"/>
      <c r="H26" s="4"/>
      <c r="I26" s="4"/>
    </row>
    <row r="27" spans="1:9" x14ac:dyDescent="0.2">
      <c r="D27" s="4"/>
      <c r="E27" s="4"/>
      <c r="F27" s="4"/>
      <c r="G27" s="4"/>
      <c r="H27" s="4"/>
      <c r="I27" s="4"/>
    </row>
    <row r="28" spans="1:9" x14ac:dyDescent="0.2">
      <c r="D28" s="4"/>
      <c r="E28" s="4"/>
      <c r="F28" s="4"/>
      <c r="G28" s="4"/>
      <c r="H28" s="4"/>
      <c r="I28" s="4"/>
    </row>
    <row r="29" spans="1:9" x14ac:dyDescent="0.2">
      <c r="D29" s="4"/>
      <c r="E29" s="4"/>
      <c r="F29" s="4"/>
      <c r="G29" s="4"/>
      <c r="H29" s="4"/>
      <c r="I29" s="4"/>
    </row>
    <row r="30" spans="1:9" x14ac:dyDescent="0.2">
      <c r="D30" s="4"/>
      <c r="E30" s="4"/>
      <c r="F30" s="4"/>
      <c r="G30" s="4"/>
      <c r="H30" s="4"/>
      <c r="I30" s="4"/>
    </row>
    <row r="31" spans="1:9" x14ac:dyDescent="0.2">
      <c r="D31" s="4"/>
      <c r="E31" s="4"/>
      <c r="F31" s="4"/>
      <c r="G31" s="4"/>
      <c r="H31" s="4"/>
      <c r="I31" s="4"/>
    </row>
    <row r="32" spans="1:9" x14ac:dyDescent="0.2">
      <c r="D32" s="4"/>
      <c r="E32" s="4"/>
      <c r="F32" s="4"/>
      <c r="G32" s="4"/>
      <c r="H32" s="4"/>
      <c r="I32" s="4"/>
    </row>
    <row r="33" spans="4:9" x14ac:dyDescent="0.2">
      <c r="D33" s="4"/>
      <c r="E33" s="4"/>
      <c r="F33" s="4"/>
      <c r="G33" s="4"/>
      <c r="H33" s="4"/>
      <c r="I33" s="4"/>
    </row>
    <row r="34" spans="4:9" x14ac:dyDescent="0.2">
      <c r="D34" s="4"/>
      <c r="E34" s="4"/>
      <c r="F34" s="4"/>
      <c r="G34" s="4"/>
      <c r="H34" s="4"/>
      <c r="I34" s="4"/>
    </row>
    <row r="35" spans="4:9" x14ac:dyDescent="0.2">
      <c r="D35" s="4"/>
      <c r="E35" s="4"/>
      <c r="F35" s="4"/>
      <c r="G35" s="4"/>
      <c r="H35" s="4"/>
      <c r="I35" s="4"/>
    </row>
    <row r="36" spans="4:9" x14ac:dyDescent="0.2">
      <c r="D36" s="4"/>
      <c r="E36" s="4"/>
      <c r="F36" s="4"/>
      <c r="G36" s="4"/>
      <c r="H36" s="4"/>
      <c r="I36" s="4"/>
    </row>
    <row r="37" spans="4:9" x14ac:dyDescent="0.2">
      <c r="D37" s="4"/>
      <c r="E37" s="4"/>
      <c r="F37" s="4"/>
      <c r="G37" s="4"/>
      <c r="H37" s="4"/>
      <c r="I37" s="4"/>
    </row>
    <row r="38" spans="4:9" x14ac:dyDescent="0.2">
      <c r="D38" s="4"/>
      <c r="E38" s="4"/>
      <c r="F38" s="4"/>
      <c r="G38" s="4"/>
      <c r="H38" s="4"/>
      <c r="I38" s="4"/>
    </row>
    <row r="39" spans="4:9" x14ac:dyDescent="0.2">
      <c r="D39" s="4"/>
      <c r="E39" s="4"/>
      <c r="F39" s="4"/>
      <c r="G39" s="4"/>
      <c r="H39" s="4"/>
      <c r="I39" s="4"/>
    </row>
    <row r="40" spans="4:9" x14ac:dyDescent="0.2">
      <c r="D40" s="4"/>
      <c r="E40" s="4"/>
      <c r="F40" s="4"/>
      <c r="G40" s="4"/>
      <c r="H40" s="4"/>
      <c r="I40" s="4"/>
    </row>
    <row r="41" spans="4:9" x14ac:dyDescent="0.2">
      <c r="D41" s="4"/>
      <c r="E41" s="4"/>
      <c r="F41" s="4"/>
      <c r="G41" s="4"/>
      <c r="H41" s="4"/>
      <c r="I41" s="4"/>
    </row>
    <row r="42" spans="4:9" x14ac:dyDescent="0.2">
      <c r="D42" s="4"/>
      <c r="E42" s="4"/>
      <c r="F42" s="4"/>
      <c r="G42" s="4"/>
      <c r="H42" s="4"/>
      <c r="I42" s="4"/>
    </row>
    <row r="43" spans="4:9" x14ac:dyDescent="0.2">
      <c r="D43" s="4"/>
      <c r="E43" s="4"/>
      <c r="F43" s="4"/>
      <c r="G43" s="4"/>
      <c r="H43" s="4"/>
      <c r="I43" s="4"/>
    </row>
    <row r="44" spans="4:9" x14ac:dyDescent="0.2">
      <c r="D44" s="4"/>
      <c r="E44" s="4"/>
      <c r="F44" s="4"/>
      <c r="G44" s="4"/>
      <c r="H44" s="4"/>
      <c r="I44" s="4"/>
    </row>
    <row r="45" spans="4:9" x14ac:dyDescent="0.2">
      <c r="D45" s="4"/>
      <c r="E45" s="4"/>
      <c r="F45" s="4"/>
      <c r="G45" s="4"/>
      <c r="H45" s="4"/>
      <c r="I45" s="4"/>
    </row>
    <row r="46" spans="4:9" x14ac:dyDescent="0.2">
      <c r="D46" s="4"/>
      <c r="E46" s="4"/>
      <c r="F46" s="4"/>
      <c r="G46" s="4"/>
      <c r="H46" s="4"/>
      <c r="I46" s="4"/>
    </row>
    <row r="47" spans="4:9" x14ac:dyDescent="0.2">
      <c r="D47" s="4"/>
      <c r="E47" s="4"/>
      <c r="F47" s="4"/>
      <c r="G47" s="4"/>
      <c r="H47" s="4"/>
      <c r="I47" s="4"/>
    </row>
    <row r="48" spans="4:9" x14ac:dyDescent="0.2">
      <c r="D48" s="4"/>
      <c r="E48" s="4"/>
      <c r="F48" s="4"/>
      <c r="G48" s="4"/>
      <c r="H48" s="4"/>
      <c r="I48" s="4"/>
    </row>
    <row r="49" spans="4:9" x14ac:dyDescent="0.2">
      <c r="D49" s="4"/>
      <c r="E49" s="4"/>
      <c r="F49" s="4"/>
      <c r="G49" s="4"/>
      <c r="H49" s="4"/>
      <c r="I49" s="4"/>
    </row>
    <row r="50" spans="4:9" x14ac:dyDescent="0.2">
      <c r="D50" s="4"/>
      <c r="E50" s="4"/>
      <c r="F50" s="4"/>
      <c r="G50" s="4"/>
      <c r="H50" s="4"/>
      <c r="I50" s="4"/>
    </row>
    <row r="51" spans="4:9" x14ac:dyDescent="0.2">
      <c r="D51" s="4"/>
      <c r="E51" s="4"/>
      <c r="F51" s="4"/>
      <c r="G51" s="4"/>
      <c r="H51" s="4"/>
      <c r="I51" s="4"/>
    </row>
    <row r="52" spans="4:9" x14ac:dyDescent="0.2">
      <c r="D52" s="4"/>
      <c r="E52" s="4"/>
      <c r="F52" s="4"/>
      <c r="G52" s="4"/>
      <c r="H52" s="4"/>
      <c r="I52" s="4"/>
    </row>
    <row r="53" spans="4:9" x14ac:dyDescent="0.2">
      <c r="D53" s="4"/>
      <c r="E53" s="4"/>
      <c r="F53" s="4"/>
      <c r="G53" s="4"/>
      <c r="H53" s="4"/>
      <c r="I53" s="4"/>
    </row>
    <row r="54" spans="4:9" x14ac:dyDescent="0.2">
      <c r="D54" s="4"/>
      <c r="E54" s="4"/>
      <c r="F54" s="4"/>
      <c r="G54" s="4"/>
      <c r="H54" s="4"/>
      <c r="I54" s="4"/>
    </row>
    <row r="55" spans="4:9" x14ac:dyDescent="0.2">
      <c r="D55" s="4"/>
      <c r="E55" s="4"/>
      <c r="F55" s="4"/>
      <c r="G55" s="4"/>
      <c r="H55" s="4"/>
      <c r="I55" s="4"/>
    </row>
    <row r="56" spans="4:9" x14ac:dyDescent="0.2">
      <c r="D56" s="4"/>
      <c r="E56" s="4"/>
      <c r="F56" s="4"/>
      <c r="G56" s="4"/>
      <c r="H56" s="4"/>
      <c r="I56" s="4"/>
    </row>
    <row r="57" spans="4:9" x14ac:dyDescent="0.2">
      <c r="D57" s="4"/>
      <c r="E57" s="4"/>
      <c r="F57" s="4"/>
      <c r="G57" s="4"/>
      <c r="H57" s="4"/>
      <c r="I57" s="4"/>
    </row>
    <row r="58" spans="4:9" x14ac:dyDescent="0.2">
      <c r="D58" s="4"/>
      <c r="E58" s="4"/>
      <c r="F58" s="4"/>
      <c r="G58" s="4"/>
      <c r="H58" s="4"/>
      <c r="I58" s="4"/>
    </row>
    <row r="59" spans="4:9" x14ac:dyDescent="0.2">
      <c r="D59" s="4"/>
      <c r="E59" s="4"/>
      <c r="F59" s="4"/>
      <c r="G59" s="4"/>
      <c r="H59" s="4"/>
      <c r="I59" s="4"/>
    </row>
    <row r="60" spans="4:9" x14ac:dyDescent="0.2">
      <c r="D60" s="4"/>
      <c r="E60" s="4"/>
      <c r="F60" s="4"/>
      <c r="G60" s="4"/>
      <c r="H60" s="4"/>
      <c r="I60" s="4"/>
    </row>
    <row r="61" spans="4:9" x14ac:dyDescent="0.2">
      <c r="D61" s="4"/>
      <c r="E61" s="4"/>
      <c r="F61" s="4"/>
      <c r="G61" s="4"/>
      <c r="H61" s="4"/>
      <c r="I61" s="4"/>
    </row>
    <row r="62" spans="4:9" x14ac:dyDescent="0.2">
      <c r="D62" s="4"/>
      <c r="E62" s="4"/>
      <c r="F62" s="4"/>
      <c r="G62" s="4"/>
      <c r="H62" s="4"/>
      <c r="I62" s="4"/>
    </row>
    <row r="63" spans="4:9" x14ac:dyDescent="0.2">
      <c r="D63" s="4"/>
      <c r="E63" s="4"/>
      <c r="F63" s="4"/>
      <c r="G63" s="4"/>
      <c r="H63" s="4"/>
      <c r="I63" s="4"/>
    </row>
    <row r="64" spans="4:9" x14ac:dyDescent="0.2">
      <c r="D64" s="4"/>
      <c r="E64" s="4"/>
      <c r="F64" s="4"/>
      <c r="G64" s="4"/>
      <c r="H64" s="4"/>
      <c r="I64" s="4"/>
    </row>
    <row r="65" spans="4:9" x14ac:dyDescent="0.2">
      <c r="D65" s="4"/>
      <c r="E65" s="4"/>
      <c r="F65" s="4"/>
      <c r="G65" s="4"/>
      <c r="H65" s="4"/>
      <c r="I65" s="4"/>
    </row>
    <row r="66" spans="4:9" x14ac:dyDescent="0.2">
      <c r="D66" s="4"/>
      <c r="E66" s="4"/>
      <c r="F66" s="4"/>
      <c r="G66" s="4"/>
      <c r="H66" s="4"/>
      <c r="I66" s="4"/>
    </row>
  </sheetData>
  <phoneticPr fontId="34" type="noConversion"/>
  <pageMargins left="0.7" right="0.7" top="0.75" bottom="0.75" header="0.3" footer="0.3"/>
  <pageSetup orientation="portrait" horizont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3:K7"/>
  <sheetViews>
    <sheetView workbookViewId="0">
      <selection activeCell="G14" sqref="G14"/>
    </sheetView>
  </sheetViews>
  <sheetFormatPr defaultRowHeight="12.75" x14ac:dyDescent="0.2"/>
  <sheetData>
    <row r="3" spans="1:11" x14ac:dyDescent="0.2">
      <c r="A3" s="3" t="s">
        <v>9</v>
      </c>
    </row>
    <row r="4" spans="1:11" x14ac:dyDescent="0.2">
      <c r="B4" s="3" t="s">
        <v>50</v>
      </c>
      <c r="E4" s="21" t="s">
        <v>49</v>
      </c>
      <c r="F4" s="19"/>
      <c r="G4" s="20"/>
      <c r="H4" s="24"/>
      <c r="I4" s="24"/>
      <c r="J4" s="24"/>
      <c r="K4" s="22">
        <v>4876.68</v>
      </c>
    </row>
    <row r="6" spans="1:11" x14ac:dyDescent="0.2">
      <c r="A6" s="3" t="s">
        <v>51</v>
      </c>
    </row>
    <row r="7" spans="1:11" x14ac:dyDescent="0.2">
      <c r="B7" s="3" t="s">
        <v>52</v>
      </c>
    </row>
  </sheetData>
  <phoneticPr fontId="3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"/>
  <sheetViews>
    <sheetView workbookViewId="0">
      <selection activeCell="K4" sqref="K4"/>
    </sheetView>
  </sheetViews>
  <sheetFormatPr defaultRowHeight="17.25" customHeight="1" x14ac:dyDescent="0.2"/>
  <cols>
    <col min="1" max="1" width="22.28515625" style="938" customWidth="1"/>
    <col min="2" max="9" width="13.140625" style="942" bestFit="1" customWidth="1"/>
    <col min="10" max="10" width="12.85546875" style="942" customWidth="1"/>
    <col min="11" max="13" width="12.85546875" style="938" customWidth="1"/>
    <col min="14" max="16384" width="9.140625" style="938"/>
  </cols>
  <sheetData>
    <row r="1" spans="1:13" ht="19.5" customHeight="1" x14ac:dyDescent="0.2">
      <c r="B1" s="949"/>
      <c r="C1" s="949"/>
      <c r="D1" s="949"/>
      <c r="E1" s="949"/>
      <c r="F1" s="949"/>
      <c r="G1" s="949"/>
      <c r="H1" s="949"/>
      <c r="I1" s="949"/>
      <c r="J1" s="949"/>
    </row>
    <row r="2" spans="1:13" s="940" customFormat="1" ht="27.75" customHeight="1" x14ac:dyDescent="0.4">
      <c r="A2" s="950">
        <v>2022</v>
      </c>
      <c r="B2" s="951" t="s">
        <v>332</v>
      </c>
      <c r="C2" s="951" t="s">
        <v>100</v>
      </c>
      <c r="D2" s="951" t="s">
        <v>101</v>
      </c>
      <c r="E2" s="951" t="s">
        <v>102</v>
      </c>
      <c r="F2" s="951" t="s">
        <v>103</v>
      </c>
      <c r="G2" s="951" t="s">
        <v>104</v>
      </c>
      <c r="H2" s="951" t="s">
        <v>105</v>
      </c>
      <c r="I2" s="951" t="s">
        <v>106</v>
      </c>
      <c r="J2" s="951" t="s">
        <v>107</v>
      </c>
      <c r="K2" s="951" t="s">
        <v>108</v>
      </c>
      <c r="L2" s="951" t="s">
        <v>109</v>
      </c>
      <c r="M2" s="951" t="s">
        <v>110</v>
      </c>
    </row>
    <row r="3" spans="1:13" s="940" customFormat="1" ht="15" x14ac:dyDescent="0.2">
      <c r="A3" s="939"/>
      <c r="B3" s="941"/>
      <c r="C3" s="941"/>
      <c r="D3" s="941"/>
      <c r="E3" s="941"/>
      <c r="F3" s="941"/>
      <c r="G3" s="941"/>
      <c r="H3" s="941"/>
      <c r="I3" s="941"/>
      <c r="J3" s="941"/>
    </row>
    <row r="4" spans="1:13" ht="24" customHeight="1" x14ac:dyDescent="0.4">
      <c r="A4" s="943" t="s">
        <v>6</v>
      </c>
      <c r="B4" s="944">
        <v>12.366499999999998</v>
      </c>
      <c r="C4" s="944">
        <v>13.939</v>
      </c>
      <c r="D4" s="944">
        <v>15.905799999999997</v>
      </c>
      <c r="E4" s="944">
        <v>15.804299999999994</v>
      </c>
      <c r="F4" s="944">
        <v>16.272199999999998</v>
      </c>
      <c r="G4" s="944">
        <v>17.209999999999997</v>
      </c>
      <c r="H4" s="944">
        <v>18.949399999999997</v>
      </c>
      <c r="I4" s="944">
        <v>17.706399999999999</v>
      </c>
      <c r="J4" s="944">
        <v>20.817000000000004</v>
      </c>
      <c r="K4" s="944"/>
      <c r="L4" s="944"/>
      <c r="M4" s="944"/>
    </row>
    <row r="5" spans="1:13" ht="24" customHeight="1" x14ac:dyDescent="0.4">
      <c r="A5" s="945" t="s">
        <v>47</v>
      </c>
      <c r="B5" s="946">
        <v>11.079499999999999</v>
      </c>
      <c r="C5" s="946">
        <v>12.652000000000001</v>
      </c>
      <c r="D5" s="946">
        <v>14.6188</v>
      </c>
      <c r="E5" s="946">
        <v>14.517299999999997</v>
      </c>
      <c r="F5" s="946">
        <v>14.985200000000001</v>
      </c>
      <c r="G5" s="946">
        <v>15.923</v>
      </c>
      <c r="H5" s="946">
        <v>17.662500000000001</v>
      </c>
      <c r="I5" s="946">
        <v>16.419400000000007</v>
      </c>
      <c r="J5" s="946">
        <v>19.530000000000005</v>
      </c>
      <c r="K5" s="946"/>
      <c r="L5" s="946"/>
      <c r="M5" s="946"/>
    </row>
    <row r="6" spans="1:13" ht="24" customHeight="1" x14ac:dyDescent="0.4">
      <c r="A6" s="947" t="s">
        <v>13</v>
      </c>
      <c r="B6" s="948">
        <v>9.2183999999999973</v>
      </c>
      <c r="C6" s="948">
        <v>10.8819</v>
      </c>
      <c r="D6" s="948">
        <v>12.7469</v>
      </c>
      <c r="E6" s="948">
        <v>12.711799999999997</v>
      </c>
      <c r="F6" s="948">
        <v>13.2141</v>
      </c>
      <c r="G6" s="948">
        <v>14.099500000000001</v>
      </c>
      <c r="H6" s="948">
        <v>15.8842</v>
      </c>
      <c r="I6" s="948">
        <v>14.658400000000002</v>
      </c>
      <c r="J6" s="948">
        <v>17.757700000000007</v>
      </c>
      <c r="K6" s="948"/>
      <c r="L6" s="948"/>
      <c r="M6" s="948"/>
    </row>
    <row r="7" spans="1:13" ht="17.25" customHeight="1" x14ac:dyDescent="0.2">
      <c r="B7" s="949"/>
      <c r="C7" s="949"/>
      <c r="D7" s="949"/>
      <c r="E7" s="949"/>
      <c r="F7" s="949"/>
      <c r="G7" s="949"/>
      <c r="H7" s="949"/>
      <c r="I7" s="949"/>
      <c r="J7" s="949"/>
    </row>
  </sheetData>
  <pageMargins left="0.7" right="0.7" top="0.75" bottom="0.75" header="0.3" footer="0.3"/>
  <pageSetup orientation="portrait" horizontalDpi="4294967295" verticalDpi="429496729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19"/>
  <sheetViews>
    <sheetView topLeftCell="A19" workbookViewId="0">
      <selection activeCell="F25" sqref="F25"/>
    </sheetView>
  </sheetViews>
  <sheetFormatPr defaultRowHeight="12.75" x14ac:dyDescent="0.2"/>
  <cols>
    <col min="1" max="1" width="28.5703125" customWidth="1"/>
    <col min="2" max="2" width="13.42578125" customWidth="1"/>
    <col min="3" max="3" width="13.85546875" customWidth="1"/>
    <col min="4" max="4" width="18.28515625" customWidth="1"/>
  </cols>
  <sheetData>
    <row r="1" spans="1:6" ht="60.75" customHeight="1" x14ac:dyDescent="0.2"/>
    <row r="2" spans="1:6" ht="13.5" customHeight="1" x14ac:dyDescent="0.2"/>
    <row r="3" spans="1:6" ht="99.75" customHeight="1" x14ac:dyDescent="0.2">
      <c r="A3" s="1123" t="s">
        <v>258</v>
      </c>
      <c r="B3" s="1123"/>
      <c r="C3" s="1123"/>
      <c r="D3" s="1123"/>
      <c r="E3" s="627"/>
      <c r="F3" s="627"/>
    </row>
    <row r="4" spans="1:6" ht="13.5" thickBot="1" x14ac:dyDescent="0.25"/>
    <row r="5" spans="1:6" ht="26.25" thickBot="1" x14ac:dyDescent="0.25">
      <c r="A5" s="629" t="s">
        <v>248</v>
      </c>
      <c r="B5" s="630" t="s">
        <v>249</v>
      </c>
      <c r="C5" s="630" t="s">
        <v>250</v>
      </c>
      <c r="D5" s="631" t="s">
        <v>255</v>
      </c>
    </row>
    <row r="6" spans="1:6" x14ac:dyDescent="0.2">
      <c r="A6" s="632" t="s">
        <v>137</v>
      </c>
      <c r="B6" s="633">
        <v>5.1313000000000004</v>
      </c>
      <c r="C6" s="633">
        <v>4.7797000000000001</v>
      </c>
      <c r="D6" s="634">
        <f>B6-C6</f>
        <v>0.35160000000000036</v>
      </c>
    </row>
    <row r="7" spans="1:6" x14ac:dyDescent="0.2">
      <c r="A7" s="635" t="s">
        <v>138</v>
      </c>
      <c r="B7" s="628">
        <v>0.77739999999999998</v>
      </c>
      <c r="C7" s="628">
        <v>0.74129999999999996</v>
      </c>
      <c r="D7" s="636">
        <f t="shared" ref="D7:D12" si="0">B7-C7</f>
        <v>3.6100000000000021E-2</v>
      </c>
    </row>
    <row r="8" spans="1:6" x14ac:dyDescent="0.2">
      <c r="A8" s="635" t="s">
        <v>251</v>
      </c>
      <c r="B8" s="628">
        <v>0.74480000000000002</v>
      </c>
      <c r="C8" s="628">
        <v>0.71160000000000001</v>
      </c>
      <c r="D8" s="636">
        <f t="shared" si="0"/>
        <v>3.3200000000000007E-2</v>
      </c>
    </row>
    <row r="9" spans="1:6" x14ac:dyDescent="0.2">
      <c r="A9" s="635" t="s">
        <v>252</v>
      </c>
      <c r="B9" s="628">
        <v>9.7900000000000001E-2</v>
      </c>
      <c r="C9" s="628">
        <v>9.3100000000000002E-2</v>
      </c>
      <c r="D9" s="636">
        <f t="shared" si="0"/>
        <v>4.7999999999999987E-3</v>
      </c>
    </row>
    <row r="10" spans="1:6" x14ac:dyDescent="0.2">
      <c r="A10" s="635" t="s">
        <v>253</v>
      </c>
      <c r="B10" s="628">
        <v>1.4E-3</v>
      </c>
      <c r="C10" s="628">
        <v>1.2999999999999999E-3</v>
      </c>
      <c r="D10" s="636">
        <f t="shared" si="0"/>
        <v>1.0000000000000005E-4</v>
      </c>
    </row>
    <row r="11" spans="1:6" x14ac:dyDescent="0.2">
      <c r="A11" s="635" t="s">
        <v>51</v>
      </c>
      <c r="B11" s="628">
        <v>0.18629999999999999</v>
      </c>
      <c r="C11" s="628">
        <v>0.34560000000000002</v>
      </c>
      <c r="D11" s="636">
        <f t="shared" si="0"/>
        <v>-0.15930000000000002</v>
      </c>
    </row>
    <row r="12" spans="1:6" ht="26.25" thickBot="1" x14ac:dyDescent="0.25">
      <c r="A12" s="637" t="s">
        <v>254</v>
      </c>
      <c r="B12" s="638">
        <v>0.49249999999999999</v>
      </c>
      <c r="C12" s="638">
        <v>0</v>
      </c>
      <c r="D12" s="639">
        <f t="shared" si="0"/>
        <v>0.49249999999999999</v>
      </c>
    </row>
    <row r="13" spans="1:6" ht="13.5" thickBot="1" x14ac:dyDescent="0.25">
      <c r="A13" s="640"/>
      <c r="B13" s="641">
        <f>SUM(B6:B12)</f>
        <v>7.4316000000000004</v>
      </c>
      <c r="C13" s="641">
        <f>SUM(C6:C12)</f>
        <v>6.6725999999999992</v>
      </c>
      <c r="D13" s="642">
        <f>SUM(D6:D12)</f>
        <v>0.75900000000000034</v>
      </c>
    </row>
    <row r="16" spans="1:6" ht="67.5" customHeight="1" x14ac:dyDescent="0.2">
      <c r="A16" s="1123" t="s">
        <v>259</v>
      </c>
      <c r="B16" s="1123"/>
      <c r="C16" s="1123"/>
      <c r="D16" s="1123"/>
    </row>
    <row r="17" spans="1:4" ht="84" customHeight="1" x14ac:dyDescent="0.2">
      <c r="A17" s="1123" t="s">
        <v>260</v>
      </c>
      <c r="B17" s="1123"/>
      <c r="C17" s="1123"/>
      <c r="D17" s="1123"/>
    </row>
    <row r="18" spans="1:4" ht="30.75" customHeight="1" x14ac:dyDescent="0.2">
      <c r="A18" s="1123" t="s">
        <v>256</v>
      </c>
      <c r="B18" s="1123"/>
      <c r="C18" s="1123"/>
      <c r="D18" s="1123"/>
    </row>
    <row r="19" spans="1:4" x14ac:dyDescent="0.2">
      <c r="A19" s="1123" t="s">
        <v>257</v>
      </c>
      <c r="B19" s="1123"/>
      <c r="C19" s="1123"/>
      <c r="D19" s="1123"/>
    </row>
  </sheetData>
  <mergeCells count="5">
    <mergeCell ref="A3:D3"/>
    <mergeCell ref="A16:D16"/>
    <mergeCell ref="A17:D17"/>
    <mergeCell ref="A18:D18"/>
    <mergeCell ref="A19:D19"/>
  </mergeCells>
  <pageMargins left="0.97" right="0.7" top="0.78" bottom="0.75" header="0.3" footer="0.3"/>
  <pageSetup paperSize="9" orientation="portrait" horizontalDpi="360" verticalDpi="36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C1:E78"/>
  <sheetViews>
    <sheetView topLeftCell="A20" workbookViewId="0">
      <selection activeCell="C1" sqref="C1:E38"/>
    </sheetView>
  </sheetViews>
  <sheetFormatPr defaultRowHeight="12.75" x14ac:dyDescent="0.2"/>
  <sheetData>
    <row r="1" spans="3:5" x14ac:dyDescent="0.2">
      <c r="C1" s="768">
        <v>932</v>
      </c>
      <c r="D1">
        <v>923</v>
      </c>
      <c r="E1">
        <f>C1-D1</f>
        <v>9</v>
      </c>
    </row>
    <row r="2" spans="3:5" x14ac:dyDescent="0.2">
      <c r="C2">
        <v>375</v>
      </c>
      <c r="D2">
        <v>375</v>
      </c>
      <c r="E2">
        <f t="shared" ref="E2:E37" si="0">C2-D2</f>
        <v>0</v>
      </c>
    </row>
    <row r="3" spans="3:5" x14ac:dyDescent="0.2">
      <c r="C3">
        <v>1454</v>
      </c>
      <c r="D3">
        <v>1441</v>
      </c>
      <c r="E3">
        <f t="shared" si="0"/>
        <v>13</v>
      </c>
    </row>
    <row r="4" spans="3:5" x14ac:dyDescent="0.2">
      <c r="C4">
        <v>1048</v>
      </c>
      <c r="D4">
        <v>1046</v>
      </c>
      <c r="E4">
        <f t="shared" si="0"/>
        <v>2</v>
      </c>
    </row>
    <row r="5" spans="3:5" x14ac:dyDescent="0.2">
      <c r="C5">
        <v>966</v>
      </c>
      <c r="D5">
        <v>933</v>
      </c>
      <c r="E5">
        <f t="shared" si="0"/>
        <v>33</v>
      </c>
    </row>
    <row r="6" spans="3:5" x14ac:dyDescent="0.2">
      <c r="C6">
        <v>1323</v>
      </c>
      <c r="D6">
        <v>1301</v>
      </c>
      <c r="E6">
        <f t="shared" si="0"/>
        <v>22</v>
      </c>
    </row>
    <row r="7" spans="3:5" x14ac:dyDescent="0.2">
      <c r="C7">
        <v>1024</v>
      </c>
      <c r="D7">
        <v>1015</v>
      </c>
      <c r="E7">
        <f t="shared" si="0"/>
        <v>9</v>
      </c>
    </row>
    <row r="8" spans="3:5" x14ac:dyDescent="0.2">
      <c r="C8">
        <v>934</v>
      </c>
      <c r="D8">
        <v>925</v>
      </c>
      <c r="E8">
        <f t="shared" si="0"/>
        <v>9</v>
      </c>
    </row>
    <row r="9" spans="3:5" x14ac:dyDescent="0.2">
      <c r="C9">
        <v>466</v>
      </c>
      <c r="D9">
        <v>463</v>
      </c>
      <c r="E9">
        <f t="shared" si="0"/>
        <v>3</v>
      </c>
    </row>
    <row r="10" spans="3:5" x14ac:dyDescent="0.2">
      <c r="C10">
        <v>679</v>
      </c>
      <c r="D10">
        <v>667</v>
      </c>
      <c r="E10">
        <f t="shared" si="0"/>
        <v>12</v>
      </c>
    </row>
    <row r="11" spans="3:5" x14ac:dyDescent="0.2">
      <c r="C11">
        <v>179</v>
      </c>
      <c r="D11">
        <v>176</v>
      </c>
      <c r="E11">
        <f t="shared" si="0"/>
        <v>3</v>
      </c>
    </row>
    <row r="12" spans="3:5" x14ac:dyDescent="0.2">
      <c r="C12">
        <v>786</v>
      </c>
      <c r="D12">
        <v>780</v>
      </c>
      <c r="E12">
        <f t="shared" si="0"/>
        <v>6</v>
      </c>
    </row>
    <row r="13" spans="3:5" x14ac:dyDescent="0.2">
      <c r="C13">
        <v>1690</v>
      </c>
      <c r="D13">
        <v>1662</v>
      </c>
      <c r="E13">
        <f t="shared" si="0"/>
        <v>28</v>
      </c>
    </row>
    <row r="14" spans="3:5" x14ac:dyDescent="0.2">
      <c r="C14">
        <v>754</v>
      </c>
      <c r="D14">
        <v>749</v>
      </c>
      <c r="E14">
        <f t="shared" si="0"/>
        <v>5</v>
      </c>
    </row>
    <row r="15" spans="3:5" x14ac:dyDescent="0.2">
      <c r="C15">
        <v>547</v>
      </c>
      <c r="D15">
        <v>546</v>
      </c>
      <c r="E15">
        <f t="shared" si="0"/>
        <v>1</v>
      </c>
    </row>
    <row r="16" spans="3:5" x14ac:dyDescent="0.2">
      <c r="C16">
        <v>611</v>
      </c>
      <c r="D16">
        <v>611</v>
      </c>
      <c r="E16">
        <f t="shared" si="0"/>
        <v>0</v>
      </c>
    </row>
    <row r="17" spans="3:5" x14ac:dyDescent="0.2">
      <c r="C17">
        <v>280</v>
      </c>
      <c r="D17">
        <v>280</v>
      </c>
      <c r="E17">
        <f t="shared" si="0"/>
        <v>0</v>
      </c>
    </row>
    <row r="18" spans="3:5" x14ac:dyDescent="0.2">
      <c r="C18">
        <v>785</v>
      </c>
      <c r="D18">
        <v>770</v>
      </c>
      <c r="E18">
        <f t="shared" si="0"/>
        <v>15</v>
      </c>
    </row>
    <row r="19" spans="3:5" x14ac:dyDescent="0.2">
      <c r="C19">
        <v>761</v>
      </c>
      <c r="D19">
        <v>761</v>
      </c>
      <c r="E19">
        <f t="shared" si="0"/>
        <v>0</v>
      </c>
    </row>
    <row r="20" spans="3:5" x14ac:dyDescent="0.2">
      <c r="C20">
        <v>867</v>
      </c>
      <c r="D20">
        <v>856</v>
      </c>
      <c r="E20">
        <f t="shared" si="0"/>
        <v>11</v>
      </c>
    </row>
    <row r="21" spans="3:5" x14ac:dyDescent="0.2">
      <c r="C21">
        <v>552</v>
      </c>
      <c r="D21">
        <v>522</v>
      </c>
      <c r="E21">
        <f t="shared" si="0"/>
        <v>30</v>
      </c>
    </row>
    <row r="22" spans="3:5" x14ac:dyDescent="0.2">
      <c r="C22">
        <v>1351</v>
      </c>
      <c r="D22">
        <v>1335</v>
      </c>
      <c r="E22">
        <f t="shared" si="0"/>
        <v>16</v>
      </c>
    </row>
    <row r="23" spans="3:5" x14ac:dyDescent="0.2">
      <c r="C23">
        <v>359</v>
      </c>
      <c r="D23">
        <v>344</v>
      </c>
      <c r="E23">
        <f t="shared" si="0"/>
        <v>15</v>
      </c>
    </row>
    <row r="24" spans="3:5" x14ac:dyDescent="0.2">
      <c r="C24">
        <v>200</v>
      </c>
      <c r="D24">
        <v>196</v>
      </c>
      <c r="E24">
        <f t="shared" si="0"/>
        <v>4</v>
      </c>
    </row>
    <row r="25" spans="3:5" x14ac:dyDescent="0.2">
      <c r="C25">
        <v>205</v>
      </c>
      <c r="D25">
        <v>170</v>
      </c>
      <c r="E25">
        <f t="shared" si="0"/>
        <v>35</v>
      </c>
    </row>
    <row r="26" spans="3:5" x14ac:dyDescent="0.2">
      <c r="C26">
        <v>91</v>
      </c>
      <c r="D26">
        <v>77</v>
      </c>
      <c r="E26">
        <f t="shared" si="0"/>
        <v>14</v>
      </c>
    </row>
    <row r="27" spans="3:5" x14ac:dyDescent="0.2">
      <c r="C27">
        <v>186</v>
      </c>
      <c r="D27">
        <v>153</v>
      </c>
      <c r="E27">
        <f t="shared" si="0"/>
        <v>33</v>
      </c>
    </row>
    <row r="28" spans="3:5" x14ac:dyDescent="0.2">
      <c r="C28">
        <v>96</v>
      </c>
      <c r="D28">
        <v>79</v>
      </c>
      <c r="E28">
        <f t="shared" si="0"/>
        <v>17</v>
      </c>
    </row>
    <row r="29" spans="3:5" x14ac:dyDescent="0.2">
      <c r="C29">
        <v>30</v>
      </c>
      <c r="D29">
        <v>24</v>
      </c>
      <c r="E29">
        <f t="shared" si="0"/>
        <v>6</v>
      </c>
    </row>
    <row r="30" spans="3:5" x14ac:dyDescent="0.2">
      <c r="C30">
        <v>27</v>
      </c>
      <c r="D30">
        <v>25</v>
      </c>
      <c r="E30">
        <f t="shared" si="0"/>
        <v>2</v>
      </c>
    </row>
    <row r="31" spans="3:5" x14ac:dyDescent="0.2">
      <c r="C31">
        <v>39</v>
      </c>
      <c r="D31">
        <v>32</v>
      </c>
      <c r="E31">
        <f t="shared" si="0"/>
        <v>7</v>
      </c>
    </row>
    <row r="32" spans="3:5" x14ac:dyDescent="0.2">
      <c r="C32">
        <v>33</v>
      </c>
      <c r="D32">
        <v>28</v>
      </c>
      <c r="E32">
        <f t="shared" si="0"/>
        <v>5</v>
      </c>
    </row>
    <row r="33" spans="3:5" x14ac:dyDescent="0.2">
      <c r="C33">
        <v>6</v>
      </c>
      <c r="D33">
        <v>6</v>
      </c>
      <c r="E33">
        <f t="shared" si="0"/>
        <v>0</v>
      </c>
    </row>
    <row r="34" spans="3:5" x14ac:dyDescent="0.2">
      <c r="C34">
        <v>395</v>
      </c>
      <c r="D34">
        <v>368</v>
      </c>
      <c r="E34">
        <f t="shared" si="0"/>
        <v>27</v>
      </c>
    </row>
    <row r="35" spans="3:5" x14ac:dyDescent="0.2">
      <c r="C35">
        <v>57</v>
      </c>
      <c r="D35">
        <v>54</v>
      </c>
      <c r="E35">
        <f t="shared" si="0"/>
        <v>3</v>
      </c>
    </row>
    <row r="36" spans="3:5" x14ac:dyDescent="0.2">
      <c r="C36">
        <v>47</v>
      </c>
      <c r="D36">
        <v>38</v>
      </c>
      <c r="E36">
        <f t="shared" si="0"/>
        <v>9</v>
      </c>
    </row>
    <row r="37" spans="3:5" x14ac:dyDescent="0.2">
      <c r="C37">
        <v>189</v>
      </c>
      <c r="D37">
        <v>177</v>
      </c>
      <c r="E37">
        <f t="shared" si="0"/>
        <v>12</v>
      </c>
    </row>
    <row r="38" spans="3:5" x14ac:dyDescent="0.2">
      <c r="C38">
        <f>SUM(C1:C37)</f>
        <v>20324</v>
      </c>
      <c r="D38">
        <f>SUM(D1:D37)</f>
        <v>19908</v>
      </c>
      <c r="E38">
        <f>SUM(E1:E37)</f>
        <v>416</v>
      </c>
    </row>
    <row r="42" spans="3:5" x14ac:dyDescent="0.2">
      <c r="C42">
        <v>0</v>
      </c>
    </row>
    <row r="43" spans="3:5" x14ac:dyDescent="0.2">
      <c r="C43">
        <v>0</v>
      </c>
    </row>
    <row r="44" spans="3:5" x14ac:dyDescent="0.2">
      <c r="C44">
        <v>0</v>
      </c>
    </row>
    <row r="45" spans="3:5" x14ac:dyDescent="0.2">
      <c r="C45">
        <v>0</v>
      </c>
    </row>
    <row r="46" spans="3:5" x14ac:dyDescent="0.2">
      <c r="C46">
        <v>0</v>
      </c>
    </row>
    <row r="47" spans="3:5" x14ac:dyDescent="0.2">
      <c r="C47">
        <v>1</v>
      </c>
    </row>
    <row r="48" spans="3:5" x14ac:dyDescent="0.2">
      <c r="C48">
        <v>2</v>
      </c>
    </row>
    <row r="49" spans="3:3" x14ac:dyDescent="0.2">
      <c r="C49">
        <v>2</v>
      </c>
    </row>
    <row r="50" spans="3:3" x14ac:dyDescent="0.2">
      <c r="C50">
        <v>3</v>
      </c>
    </row>
    <row r="51" spans="3:3" x14ac:dyDescent="0.2">
      <c r="C51">
        <v>3</v>
      </c>
    </row>
    <row r="52" spans="3:3" x14ac:dyDescent="0.2">
      <c r="C52">
        <v>3</v>
      </c>
    </row>
    <row r="53" spans="3:3" x14ac:dyDescent="0.2">
      <c r="C53">
        <v>4</v>
      </c>
    </row>
    <row r="54" spans="3:3" x14ac:dyDescent="0.2">
      <c r="C54">
        <v>5</v>
      </c>
    </row>
    <row r="55" spans="3:3" x14ac:dyDescent="0.2">
      <c r="C55">
        <v>5</v>
      </c>
    </row>
    <row r="56" spans="3:3" x14ac:dyDescent="0.2">
      <c r="C56">
        <v>6</v>
      </c>
    </row>
    <row r="57" spans="3:3" x14ac:dyDescent="0.2">
      <c r="C57">
        <v>6</v>
      </c>
    </row>
    <row r="58" spans="3:3" x14ac:dyDescent="0.2">
      <c r="C58">
        <v>7</v>
      </c>
    </row>
    <row r="59" spans="3:3" x14ac:dyDescent="0.2">
      <c r="C59">
        <v>9</v>
      </c>
    </row>
    <row r="60" spans="3:3" x14ac:dyDescent="0.2">
      <c r="C60">
        <v>9</v>
      </c>
    </row>
    <row r="61" spans="3:3" x14ac:dyDescent="0.2">
      <c r="C61">
        <v>9</v>
      </c>
    </row>
    <row r="62" spans="3:3" x14ac:dyDescent="0.2">
      <c r="C62">
        <v>9</v>
      </c>
    </row>
    <row r="63" spans="3:3" x14ac:dyDescent="0.2">
      <c r="C63">
        <v>11</v>
      </c>
    </row>
    <row r="64" spans="3:3" x14ac:dyDescent="0.2">
      <c r="C64">
        <v>12</v>
      </c>
    </row>
    <row r="65" spans="3:3" x14ac:dyDescent="0.2">
      <c r="C65">
        <v>12</v>
      </c>
    </row>
    <row r="66" spans="3:3" x14ac:dyDescent="0.2">
      <c r="C66">
        <v>13</v>
      </c>
    </row>
    <row r="67" spans="3:3" x14ac:dyDescent="0.2">
      <c r="C67">
        <v>14</v>
      </c>
    </row>
    <row r="68" spans="3:3" x14ac:dyDescent="0.2">
      <c r="C68">
        <v>15</v>
      </c>
    </row>
    <row r="69" spans="3:3" x14ac:dyDescent="0.2">
      <c r="C69">
        <v>15</v>
      </c>
    </row>
    <row r="70" spans="3:3" x14ac:dyDescent="0.2">
      <c r="C70">
        <v>16</v>
      </c>
    </row>
    <row r="71" spans="3:3" x14ac:dyDescent="0.2">
      <c r="C71">
        <v>17</v>
      </c>
    </row>
    <row r="72" spans="3:3" x14ac:dyDescent="0.2">
      <c r="C72">
        <v>22</v>
      </c>
    </row>
    <row r="73" spans="3:3" x14ac:dyDescent="0.2">
      <c r="C73">
        <v>27</v>
      </c>
    </row>
    <row r="74" spans="3:3" x14ac:dyDescent="0.2">
      <c r="C74">
        <v>28</v>
      </c>
    </row>
    <row r="75" spans="3:3" x14ac:dyDescent="0.2">
      <c r="C75">
        <v>30</v>
      </c>
    </row>
    <row r="76" spans="3:3" x14ac:dyDescent="0.2">
      <c r="C76">
        <v>33</v>
      </c>
    </row>
    <row r="77" spans="3:3" x14ac:dyDescent="0.2">
      <c r="C77">
        <v>33</v>
      </c>
    </row>
    <row r="78" spans="3:3" x14ac:dyDescent="0.2">
      <c r="C78">
        <v>35</v>
      </c>
    </row>
  </sheetData>
  <sortState xmlns:xlrd2="http://schemas.microsoft.com/office/spreadsheetml/2017/richdata2" ref="C42:C78">
    <sortCondition ref="C42:C7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0"/>
  <sheetViews>
    <sheetView showGridLines="0" topLeftCell="A34" zoomScale="110" zoomScaleNormal="110" zoomScaleSheetLayoutView="110" workbookViewId="0">
      <selection activeCell="A53" sqref="A53"/>
    </sheetView>
  </sheetViews>
  <sheetFormatPr defaultRowHeight="15" customHeight="1" x14ac:dyDescent="0.2"/>
  <cols>
    <col min="1" max="1" width="40.42578125" style="30" customWidth="1"/>
    <col min="2" max="2" width="12" style="30" customWidth="1"/>
    <col min="3" max="3" width="12.7109375" style="30" customWidth="1"/>
    <col min="4" max="4" width="1.7109375" style="30" customWidth="1"/>
    <col min="5" max="5" width="10.85546875" style="30" customWidth="1"/>
    <col min="6" max="6" width="11.85546875" style="30" hidden="1" customWidth="1"/>
    <col min="7" max="7" width="13.42578125" style="30" customWidth="1"/>
    <col min="8" max="8" width="1.140625" style="30" customWidth="1"/>
    <col min="9" max="9" width="18.7109375" style="30" bestFit="1" customWidth="1"/>
    <col min="10" max="10" width="17.5703125" style="34" customWidth="1"/>
    <col min="11" max="11" width="14.42578125" style="34" customWidth="1"/>
    <col min="12" max="12" width="12.7109375" style="813" customWidth="1"/>
    <col min="13" max="13" width="15.5703125" style="30" customWidth="1"/>
    <col min="14" max="14" width="10" style="30" customWidth="1"/>
    <col min="15" max="15" width="16.140625" style="30" bestFit="1" customWidth="1"/>
    <col min="16" max="17" width="7.85546875" style="30" bestFit="1" customWidth="1"/>
    <col min="18" max="18" width="9.5703125" style="122" bestFit="1" customWidth="1"/>
    <col min="19" max="19" width="16.5703125" style="30" customWidth="1"/>
    <col min="20" max="20" width="12.28515625" style="30" customWidth="1"/>
    <col min="21" max="21" width="12.5703125" style="30" customWidth="1"/>
    <col min="22" max="22" width="9.140625" style="30"/>
    <col min="23" max="23" width="16.42578125" style="30" customWidth="1"/>
    <col min="24" max="24" width="17.5703125" style="30" customWidth="1"/>
    <col min="25" max="25" width="16" style="30" customWidth="1"/>
    <col min="26" max="26" width="15" style="30" customWidth="1"/>
    <col min="27" max="27" width="14.28515625" style="30" bestFit="1" customWidth="1"/>
    <col min="28" max="29" width="14.140625" style="30" customWidth="1"/>
    <col min="30" max="16384" width="9.140625" style="30"/>
  </cols>
  <sheetData>
    <row r="1" spans="1:19" ht="15" customHeight="1" thickBot="1" x14ac:dyDescent="0.25">
      <c r="E1" s="767"/>
    </row>
    <row r="2" spans="1:19" s="772" customFormat="1" ht="15" customHeight="1" x14ac:dyDescent="0.2">
      <c r="A2" s="777"/>
      <c r="B2" s="778"/>
      <c r="C2" s="778"/>
      <c r="D2" s="778"/>
      <c r="E2" s="778"/>
      <c r="F2" s="778"/>
      <c r="G2" s="778"/>
      <c r="H2" s="779"/>
      <c r="J2" s="831"/>
      <c r="K2" s="831"/>
      <c r="L2" s="832"/>
      <c r="R2" s="833"/>
    </row>
    <row r="3" spans="1:19" s="772" customFormat="1" ht="15" customHeight="1" x14ac:dyDescent="0.2">
      <c r="A3" s="780"/>
      <c r="H3" s="781"/>
      <c r="J3" s="831"/>
      <c r="K3" s="831"/>
      <c r="L3" s="832"/>
      <c r="R3" s="833"/>
    </row>
    <row r="4" spans="1:19" s="772" customFormat="1" ht="15" customHeight="1" x14ac:dyDescent="0.2">
      <c r="A4" s="780"/>
      <c r="H4" s="781"/>
      <c r="J4" s="831"/>
      <c r="K4" s="831"/>
      <c r="L4" s="832"/>
      <c r="R4" s="833"/>
    </row>
    <row r="5" spans="1:19" s="772" customFormat="1" ht="15" customHeight="1" x14ac:dyDescent="0.2">
      <c r="A5" s="782" t="s">
        <v>60</v>
      </c>
      <c r="H5" s="781"/>
      <c r="J5" s="831"/>
      <c r="K5" s="831"/>
      <c r="L5" s="832"/>
      <c r="R5" s="833"/>
    </row>
    <row r="6" spans="1:19" s="772" customFormat="1" ht="15" customHeight="1" x14ac:dyDescent="0.2">
      <c r="A6" s="812" t="s">
        <v>351</v>
      </c>
      <c r="H6" s="781"/>
      <c r="J6" s="831"/>
      <c r="K6" s="831"/>
      <c r="L6" s="832"/>
      <c r="R6" s="833"/>
    </row>
    <row r="7" spans="1:19" s="772" customFormat="1" ht="15" customHeight="1" x14ac:dyDescent="0.2">
      <c r="A7" s="783"/>
      <c r="H7" s="781"/>
      <c r="J7" s="831"/>
      <c r="K7" s="831"/>
      <c r="L7" s="832"/>
      <c r="R7" s="833"/>
    </row>
    <row r="8" spans="1:19" s="772" customFormat="1" ht="15" customHeight="1" x14ac:dyDescent="0.2">
      <c r="A8" s="1047" t="s">
        <v>318</v>
      </c>
      <c r="B8" s="1048"/>
      <c r="C8" s="784" t="s">
        <v>6</v>
      </c>
      <c r="D8" s="1049" t="s">
        <v>47</v>
      </c>
      <c r="E8" s="1050"/>
      <c r="F8" s="1051"/>
      <c r="G8" s="1049" t="s">
        <v>13</v>
      </c>
      <c r="H8" s="1052"/>
      <c r="J8" s="831"/>
      <c r="K8" s="831"/>
      <c r="L8" s="832"/>
      <c r="R8" s="833"/>
    </row>
    <row r="9" spans="1:19" s="772" customFormat="1" ht="15" customHeight="1" x14ac:dyDescent="0.2">
      <c r="A9" s="782" t="s">
        <v>149</v>
      </c>
      <c r="H9" s="781"/>
      <c r="J9" s="831"/>
      <c r="K9" s="831"/>
      <c r="L9" s="832"/>
      <c r="R9" s="833"/>
    </row>
    <row r="10" spans="1:19" s="772" customFormat="1" ht="15" customHeight="1" x14ac:dyDescent="0.2">
      <c r="A10" s="780" t="s">
        <v>150</v>
      </c>
      <c r="B10" s="772" t="s">
        <v>338</v>
      </c>
      <c r="C10" s="821">
        <v>6.1921999999999997</v>
      </c>
      <c r="D10" s="803"/>
      <c r="E10" s="785">
        <v>6.1921999999999997</v>
      </c>
      <c r="F10" s="785"/>
      <c r="G10" s="785">
        <v>6.1921999999999997</v>
      </c>
      <c r="H10" s="786"/>
      <c r="I10" s="834"/>
      <c r="J10" s="817"/>
      <c r="K10" s="817"/>
      <c r="L10" s="832"/>
      <c r="Q10" s="835"/>
      <c r="R10" s="836"/>
    </row>
    <row r="11" spans="1:19" s="772" customFormat="1" ht="15" customHeight="1" x14ac:dyDescent="0.2">
      <c r="A11" s="780" t="s">
        <v>347</v>
      </c>
      <c r="B11" s="772" t="s">
        <v>338</v>
      </c>
      <c r="C11" s="821">
        <v>7.6300000000000007E-2</v>
      </c>
      <c r="D11" s="803"/>
      <c r="E11" s="785">
        <v>7.6300000000000007E-2</v>
      </c>
      <c r="F11" s="785"/>
      <c r="G11" s="785">
        <v>7.6300000000000007E-2</v>
      </c>
      <c r="H11" s="786"/>
      <c r="I11" s="834"/>
      <c r="J11" s="817"/>
      <c r="K11" s="817"/>
      <c r="L11" s="832"/>
      <c r="Q11" s="785"/>
      <c r="R11" s="833"/>
    </row>
    <row r="12" spans="1:19" s="772" customFormat="1" ht="15" customHeight="1" x14ac:dyDescent="0.2">
      <c r="A12" s="780" t="s">
        <v>348</v>
      </c>
      <c r="B12" s="772" t="s">
        <v>338</v>
      </c>
      <c r="C12" s="821">
        <v>-3.7000000000000002E-3</v>
      </c>
      <c r="D12" s="803"/>
      <c r="E12" s="785">
        <v>-3.7000000000000002E-3</v>
      </c>
      <c r="F12" s="785"/>
      <c r="G12" s="785">
        <v>-3.7000000000000002E-3</v>
      </c>
      <c r="H12" s="786"/>
      <c r="I12" s="834"/>
      <c r="J12" s="817"/>
      <c r="K12" s="817"/>
      <c r="L12" s="832"/>
      <c r="P12" s="785"/>
      <c r="Q12" s="785"/>
      <c r="R12" s="833"/>
      <c r="S12" s="837"/>
    </row>
    <row r="13" spans="1:19" s="772" customFormat="1" ht="15" customHeight="1" x14ac:dyDescent="0.2">
      <c r="A13" s="780" t="s">
        <v>350</v>
      </c>
      <c r="B13" s="772" t="s">
        <v>338</v>
      </c>
      <c r="C13" s="821">
        <v>0.32050000000000001</v>
      </c>
      <c r="D13" s="803"/>
      <c r="E13" s="785">
        <v>0.32050000000000001</v>
      </c>
      <c r="F13" s="785"/>
      <c r="G13" s="785">
        <v>0.32050000000000001</v>
      </c>
      <c r="H13" s="786"/>
      <c r="I13" s="834"/>
      <c r="J13" s="817"/>
      <c r="K13" s="817"/>
      <c r="L13" s="832"/>
      <c r="Q13" s="785"/>
      <c r="R13" s="838"/>
      <c r="S13" s="838"/>
    </row>
    <row r="14" spans="1:19" s="772" customFormat="1" ht="15" customHeight="1" x14ac:dyDescent="0.2">
      <c r="A14" s="780" t="s">
        <v>349</v>
      </c>
      <c r="B14" s="772" t="s">
        <v>338</v>
      </c>
      <c r="C14" s="821">
        <v>-1.7000000000000001E-2</v>
      </c>
      <c r="D14" s="803"/>
      <c r="E14" s="785">
        <v>-1.7000000000000001E-2</v>
      </c>
      <c r="F14" s="785"/>
      <c r="G14" s="785">
        <v>-1.7000000000000001E-2</v>
      </c>
      <c r="H14" s="786"/>
      <c r="I14" s="834"/>
      <c r="J14" s="817"/>
      <c r="K14" s="817"/>
      <c r="L14" s="832"/>
      <c r="Q14" s="785"/>
      <c r="R14" s="838"/>
      <c r="S14" s="838"/>
    </row>
    <row r="15" spans="1:19" s="772" customFormat="1" ht="15" customHeight="1" x14ac:dyDescent="0.2">
      <c r="A15" s="782" t="s">
        <v>156</v>
      </c>
      <c r="C15" s="822"/>
      <c r="D15" s="820"/>
      <c r="E15" s="820"/>
      <c r="F15" s="820"/>
      <c r="G15" s="820"/>
      <c r="H15" s="787"/>
      <c r="J15" s="831"/>
      <c r="K15" s="831"/>
      <c r="L15" s="832"/>
      <c r="P15" s="839"/>
      <c r="Q15" s="840"/>
      <c r="R15" s="841"/>
    </row>
    <row r="16" spans="1:19" s="772" customFormat="1" ht="15" customHeight="1" x14ac:dyDescent="0.2">
      <c r="A16" s="780" t="s">
        <v>157</v>
      </c>
      <c r="B16" s="772" t="s">
        <v>339</v>
      </c>
      <c r="C16" s="821"/>
      <c r="D16" s="785"/>
      <c r="E16" s="785"/>
      <c r="F16" s="785"/>
      <c r="G16" s="785">
        <v>89.789699999999996</v>
      </c>
      <c r="H16" s="787"/>
      <c r="J16" s="817"/>
      <c r="K16" s="817"/>
      <c r="L16" s="832"/>
      <c r="R16" s="833"/>
    </row>
    <row r="17" spans="1:18" s="772" customFormat="1" ht="15" customHeight="1" x14ac:dyDescent="0.2">
      <c r="A17" s="780" t="s">
        <v>159</v>
      </c>
      <c r="B17" s="772" t="s">
        <v>338</v>
      </c>
      <c r="C17" s="821">
        <v>0.82410000000000005</v>
      </c>
      <c r="D17" s="785"/>
      <c r="E17" s="785">
        <v>0.82410000000000005</v>
      </c>
      <c r="F17" s="785"/>
      <c r="G17" s="785"/>
      <c r="H17" s="787"/>
      <c r="J17" s="817"/>
      <c r="K17" s="817"/>
      <c r="L17" s="832"/>
      <c r="R17" s="833"/>
    </row>
    <row r="18" spans="1:18" s="772" customFormat="1" ht="15" customHeight="1" x14ac:dyDescent="0.2">
      <c r="A18" s="782" t="s">
        <v>160</v>
      </c>
      <c r="B18" s="772" t="s">
        <v>338</v>
      </c>
      <c r="C18" s="821">
        <v>0.83299999999999996</v>
      </c>
      <c r="D18" s="785"/>
      <c r="E18" s="785">
        <v>0.83299999999999996</v>
      </c>
      <c r="F18" s="785"/>
      <c r="G18" s="785">
        <v>0.83299999999999996</v>
      </c>
      <c r="H18" s="787"/>
      <c r="J18" s="817"/>
      <c r="K18" s="817"/>
      <c r="L18" s="832"/>
      <c r="R18" s="833"/>
    </row>
    <row r="19" spans="1:18" s="772" customFormat="1" ht="15" customHeight="1" x14ac:dyDescent="0.2">
      <c r="A19" s="782" t="s">
        <v>161</v>
      </c>
      <c r="C19" s="821"/>
      <c r="D19" s="785"/>
      <c r="E19" s="785"/>
      <c r="F19" s="785"/>
      <c r="G19" s="785"/>
      <c r="H19" s="786"/>
      <c r="J19" s="831"/>
      <c r="K19" s="831"/>
      <c r="L19" s="832"/>
      <c r="R19" s="833"/>
    </row>
    <row r="20" spans="1:18" s="772" customFormat="1" ht="15" customHeight="1" x14ac:dyDescent="0.2">
      <c r="A20" s="780" t="s">
        <v>162</v>
      </c>
      <c r="B20" s="772" t="s">
        <v>339</v>
      </c>
      <c r="C20" s="821"/>
      <c r="D20" s="785"/>
      <c r="E20" s="785"/>
      <c r="F20" s="785"/>
      <c r="G20" s="788">
        <v>267.89999999999998</v>
      </c>
      <c r="H20" s="786"/>
      <c r="J20" s="817"/>
      <c r="K20" s="817"/>
      <c r="L20" s="832"/>
      <c r="R20" s="833"/>
    </row>
    <row r="21" spans="1:18" s="772" customFormat="1" ht="15" customHeight="1" x14ac:dyDescent="0.2">
      <c r="A21" s="780" t="s">
        <v>163</v>
      </c>
      <c r="B21" s="772" t="s">
        <v>338</v>
      </c>
      <c r="C21" s="821">
        <v>0.84489999999999998</v>
      </c>
      <c r="D21" s="842"/>
      <c r="E21" s="830">
        <v>0.92589999999999995</v>
      </c>
      <c r="F21" s="785"/>
      <c r="G21" s="785"/>
      <c r="H21" s="786"/>
      <c r="J21" s="817"/>
      <c r="K21" s="817"/>
      <c r="L21" s="832"/>
      <c r="M21" s="785"/>
      <c r="R21" s="833"/>
    </row>
    <row r="22" spans="1:18" s="772" customFormat="1" ht="15" customHeight="1" x14ac:dyDescent="0.2">
      <c r="A22" s="782" t="s">
        <v>164</v>
      </c>
      <c r="C22" s="821"/>
      <c r="D22" s="842"/>
      <c r="E22" s="785"/>
      <c r="F22" s="785"/>
      <c r="G22" s="785"/>
      <c r="H22" s="786"/>
      <c r="J22" s="831"/>
      <c r="K22" s="831"/>
      <c r="L22" s="832"/>
      <c r="R22" s="833"/>
    </row>
    <row r="23" spans="1:18" s="772" customFormat="1" ht="15" customHeight="1" x14ac:dyDescent="0.2">
      <c r="A23" s="780" t="s">
        <v>334</v>
      </c>
      <c r="B23" s="772" t="s">
        <v>166</v>
      </c>
      <c r="C23" s="821"/>
      <c r="D23" s="842"/>
      <c r="E23" s="843">
        <v>40.15</v>
      </c>
      <c r="F23" s="788"/>
      <c r="G23" s="843">
        <v>40.15</v>
      </c>
      <c r="H23" s="786"/>
      <c r="J23" s="817"/>
      <c r="K23" s="817"/>
      <c r="L23" s="832"/>
      <c r="M23" s="785"/>
      <c r="R23" s="833"/>
    </row>
    <row r="24" spans="1:18" s="772" customFormat="1" ht="15" customHeight="1" x14ac:dyDescent="0.2">
      <c r="A24" s="780" t="s">
        <v>167</v>
      </c>
      <c r="B24" s="772" t="s">
        <v>338</v>
      </c>
      <c r="C24" s="821">
        <v>0.7732</v>
      </c>
      <c r="D24" s="842"/>
      <c r="E24" s="785"/>
      <c r="F24" s="785"/>
      <c r="G24" s="785"/>
      <c r="H24" s="786"/>
      <c r="J24" s="817"/>
      <c r="K24" s="817"/>
      <c r="L24" s="832"/>
      <c r="R24" s="833"/>
    </row>
    <row r="25" spans="1:18" s="772" customFormat="1" ht="15" customHeight="1" x14ac:dyDescent="0.2">
      <c r="A25" s="782" t="s">
        <v>168</v>
      </c>
      <c r="C25" s="823"/>
      <c r="D25" s="842"/>
      <c r="E25" s="785"/>
      <c r="F25" s="785"/>
      <c r="G25" s="785"/>
      <c r="H25" s="786"/>
      <c r="I25" s="785"/>
      <c r="J25" s="831"/>
      <c r="K25" s="831"/>
      <c r="L25" s="832"/>
      <c r="R25" s="833"/>
    </row>
    <row r="26" spans="1:18" s="772" customFormat="1" ht="15" customHeight="1" x14ac:dyDescent="0.2">
      <c r="A26" s="780" t="s">
        <v>221</v>
      </c>
      <c r="B26" s="772" t="s">
        <v>170</v>
      </c>
      <c r="C26" s="824">
        <v>5</v>
      </c>
      <c r="D26" s="842"/>
      <c r="E26" s="843">
        <v>28.72</v>
      </c>
      <c r="F26" s="788"/>
      <c r="G26" s="843">
        <v>28.72</v>
      </c>
      <c r="H26" s="786"/>
      <c r="J26" s="817"/>
      <c r="K26" s="817"/>
      <c r="L26" s="832"/>
      <c r="R26" s="833"/>
    </row>
    <row r="27" spans="1:18" s="772" customFormat="1" ht="15" customHeight="1" x14ac:dyDescent="0.2">
      <c r="A27" s="780" t="s">
        <v>171</v>
      </c>
      <c r="B27" s="772" t="s">
        <v>338</v>
      </c>
      <c r="C27" s="821">
        <v>0.45689999999999997</v>
      </c>
      <c r="D27" s="785"/>
      <c r="E27" s="785"/>
      <c r="F27" s="785"/>
      <c r="G27" s="785"/>
      <c r="H27" s="786"/>
      <c r="J27" s="817"/>
      <c r="K27" s="817"/>
      <c r="L27" s="832"/>
      <c r="R27" s="833"/>
    </row>
    <row r="28" spans="1:18" s="772" customFormat="1" ht="15" customHeight="1" x14ac:dyDescent="0.2">
      <c r="A28" s="789" t="s">
        <v>268</v>
      </c>
      <c r="B28" s="790" t="s">
        <v>338</v>
      </c>
      <c r="C28" s="825">
        <v>0.1323</v>
      </c>
      <c r="D28"/>
      <c r="E28" s="750">
        <v>0.1323</v>
      </c>
      <c r="F28"/>
      <c r="G28" s="750">
        <v>0.1323</v>
      </c>
      <c r="H28" s="787"/>
      <c r="J28" s="817"/>
      <c r="K28" s="817"/>
      <c r="L28" s="832"/>
      <c r="R28" s="833"/>
    </row>
    <row r="29" spans="1:18" s="772" customFormat="1" ht="15" customHeight="1" x14ac:dyDescent="0.2">
      <c r="A29" s="771" t="s">
        <v>269</v>
      </c>
      <c r="B29" s="772" t="s">
        <v>338</v>
      </c>
      <c r="C29" s="826">
        <v>6.9999999999999999E-4</v>
      </c>
      <c r="D29" s="768"/>
      <c r="E29" s="819">
        <v>6.9999999999999999E-4</v>
      </c>
      <c r="F29" s="768"/>
      <c r="G29" s="819">
        <v>6.9999999999999999E-4</v>
      </c>
      <c r="H29" s="787"/>
      <c r="I29" s="839"/>
      <c r="J29" s="817"/>
      <c r="K29" s="817"/>
      <c r="L29" s="832"/>
      <c r="R29" s="833"/>
    </row>
    <row r="30" spans="1:18" s="772" customFormat="1" ht="16.5" customHeight="1" x14ac:dyDescent="0.2">
      <c r="A30" s="782" t="s">
        <v>174</v>
      </c>
      <c r="C30" s="821"/>
      <c r="D30" s="785"/>
      <c r="E30" s="785"/>
      <c r="F30" s="785"/>
      <c r="G30" s="785"/>
      <c r="H30" s="786"/>
      <c r="J30" s="831"/>
      <c r="K30" s="831"/>
      <c r="L30" s="832"/>
      <c r="R30" s="833"/>
    </row>
    <row r="31" spans="1:18" s="772" customFormat="1" ht="15" customHeight="1" x14ac:dyDescent="0.2">
      <c r="A31" s="780" t="s">
        <v>175</v>
      </c>
      <c r="B31" s="772" t="s">
        <v>338</v>
      </c>
      <c r="C31" s="821">
        <v>0.15440000000000001</v>
      </c>
      <c r="D31" s="785"/>
      <c r="E31" s="785">
        <v>0.15440000000000001</v>
      </c>
      <c r="F31" s="785"/>
      <c r="G31" s="785">
        <v>0.15440000000000001</v>
      </c>
      <c r="H31" s="791"/>
      <c r="J31" s="817"/>
      <c r="K31" s="817"/>
      <c r="L31" s="832"/>
      <c r="R31" s="833"/>
    </row>
    <row r="32" spans="1:18" s="772" customFormat="1" ht="15" customHeight="1" x14ac:dyDescent="0.2">
      <c r="A32" s="780" t="s">
        <v>176</v>
      </c>
      <c r="B32" s="772" t="s">
        <v>338</v>
      </c>
      <c r="C32" s="821"/>
      <c r="D32" s="785"/>
      <c r="E32" s="785"/>
      <c r="F32" s="785"/>
      <c r="G32" s="830"/>
      <c r="H32" s="786"/>
      <c r="I32" s="785"/>
      <c r="J32" s="817"/>
      <c r="K32" s="817"/>
      <c r="L32" s="832"/>
      <c r="R32" s="833"/>
    </row>
    <row r="33" spans="1:18" s="772" customFormat="1" ht="15" customHeight="1" x14ac:dyDescent="0.2">
      <c r="A33" s="780" t="s">
        <v>200</v>
      </c>
      <c r="B33" s="772" t="s">
        <v>338</v>
      </c>
      <c r="C33" s="821"/>
      <c r="D33" s="785"/>
      <c r="E33" s="785"/>
      <c r="F33" s="785"/>
      <c r="G33" s="830"/>
      <c r="H33" s="786"/>
      <c r="I33" s="785"/>
      <c r="J33" s="817"/>
      <c r="K33" s="817"/>
      <c r="L33" s="832"/>
      <c r="R33" s="833"/>
    </row>
    <row r="34" spans="1:18" s="772" customFormat="1" ht="15" customHeight="1" x14ac:dyDescent="0.2">
      <c r="A34" s="780" t="s">
        <v>337</v>
      </c>
      <c r="B34" s="772" t="s">
        <v>338</v>
      </c>
      <c r="C34" s="821">
        <v>1.6999999999999999E-3</v>
      </c>
      <c r="D34" s="785"/>
      <c r="E34" s="785">
        <v>1.6999999999999999E-3</v>
      </c>
      <c r="F34" s="785"/>
      <c r="G34" s="830">
        <v>1.6999999999999999E-3</v>
      </c>
      <c r="H34" s="791"/>
      <c r="J34" s="817"/>
      <c r="K34" s="817"/>
      <c r="L34" s="832"/>
      <c r="O34" s="844"/>
      <c r="P34" s="844"/>
      <c r="Q34" s="844"/>
      <c r="R34" s="833"/>
    </row>
    <row r="35" spans="1:18" s="772" customFormat="1" ht="15" customHeight="1" x14ac:dyDescent="0.2">
      <c r="A35" s="780" t="s">
        <v>340</v>
      </c>
      <c r="B35" s="772" t="s">
        <v>338</v>
      </c>
      <c r="C35" s="821">
        <v>4.2799999999999998E-2</v>
      </c>
      <c r="D35" s="785"/>
      <c r="E35" s="785">
        <v>4.2799999999999998E-2</v>
      </c>
      <c r="F35" s="785"/>
      <c r="G35" s="830">
        <v>4.2799999999999998E-2</v>
      </c>
      <c r="H35" s="791"/>
      <c r="I35" s="785"/>
      <c r="J35" s="817"/>
      <c r="K35" s="817"/>
      <c r="L35" s="832"/>
      <c r="R35" s="833"/>
    </row>
    <row r="36" spans="1:18" s="772" customFormat="1" ht="15" customHeight="1" x14ac:dyDescent="0.2">
      <c r="A36" s="771" t="s">
        <v>335</v>
      </c>
      <c r="B36" s="772" t="s">
        <v>338</v>
      </c>
      <c r="C36" s="827">
        <v>9.8299999999999998E-2</v>
      </c>
      <c r="D36"/>
      <c r="E36" s="2">
        <v>9.8299999999999998E-2</v>
      </c>
      <c r="F36"/>
      <c r="G36" s="2">
        <v>9.8299999999999998E-2</v>
      </c>
      <c r="H36" s="791"/>
      <c r="J36" s="817"/>
      <c r="K36" s="817"/>
      <c r="L36" s="832"/>
      <c r="R36" s="833"/>
    </row>
    <row r="37" spans="1:18" s="772" customFormat="1" ht="15" customHeight="1" x14ac:dyDescent="0.2">
      <c r="A37" s="782" t="s">
        <v>182</v>
      </c>
      <c r="C37" s="821"/>
      <c r="D37" s="785"/>
      <c r="E37" s="830"/>
      <c r="F37" s="785"/>
      <c r="G37" s="830"/>
      <c r="H37" s="791"/>
      <c r="J37" s="831"/>
      <c r="K37" s="831"/>
      <c r="L37" s="832"/>
      <c r="R37" s="833"/>
    </row>
    <row r="38" spans="1:18" s="772" customFormat="1" ht="15" customHeight="1" x14ac:dyDescent="0.2">
      <c r="A38" s="780" t="s">
        <v>211</v>
      </c>
      <c r="B38" s="772" t="s">
        <v>338</v>
      </c>
      <c r="C38" s="821">
        <v>0.77980000000000005</v>
      </c>
      <c r="D38" s="785"/>
      <c r="E38" s="785">
        <v>0.77980000000000005</v>
      </c>
      <c r="F38" s="785"/>
      <c r="G38" s="830">
        <v>0.77980000000000005</v>
      </c>
      <c r="H38" s="791"/>
      <c r="J38" s="817"/>
      <c r="K38" s="817"/>
      <c r="L38" s="832"/>
      <c r="M38" s="818"/>
      <c r="R38" s="833"/>
    </row>
    <row r="39" spans="1:18" s="772" customFormat="1" ht="15" customHeight="1" x14ac:dyDescent="0.2">
      <c r="A39" s="780" t="s">
        <v>212</v>
      </c>
      <c r="B39" s="772" t="s">
        <v>338</v>
      </c>
      <c r="C39" s="821">
        <v>9.3700000000000006E-2</v>
      </c>
      <c r="D39" s="785"/>
      <c r="E39" s="785">
        <v>9.3700000000000006E-2</v>
      </c>
      <c r="F39" s="785"/>
      <c r="G39" s="830">
        <v>9.3700000000000006E-2</v>
      </c>
      <c r="H39" s="791"/>
      <c r="J39" s="817"/>
      <c r="K39" s="817"/>
      <c r="L39" s="832"/>
      <c r="M39" s="818"/>
      <c r="R39" s="833"/>
    </row>
    <row r="40" spans="1:18" s="772" customFormat="1" ht="15" customHeight="1" x14ac:dyDescent="0.2">
      <c r="A40" s="780" t="s">
        <v>213</v>
      </c>
      <c r="B40" s="772" t="s">
        <v>338</v>
      </c>
      <c r="C40" s="821">
        <v>9.7000000000000003E-2</v>
      </c>
      <c r="D40" s="785"/>
      <c r="E40" s="785">
        <v>9.7000000000000003E-2</v>
      </c>
      <c r="F40" s="785"/>
      <c r="G40" s="830">
        <v>9.7000000000000003E-2</v>
      </c>
      <c r="H40" s="791"/>
      <c r="J40" s="817"/>
      <c r="K40" s="817"/>
      <c r="L40" s="832"/>
      <c r="M40" s="818"/>
      <c r="R40" s="833"/>
    </row>
    <row r="41" spans="1:18" s="772" customFormat="1" ht="15" customHeight="1" x14ac:dyDescent="0.2">
      <c r="A41" s="780" t="s">
        <v>214</v>
      </c>
      <c r="B41" s="772" t="s">
        <v>338</v>
      </c>
      <c r="C41" s="821">
        <v>0.26500000000000001</v>
      </c>
      <c r="D41" s="785"/>
      <c r="E41" s="785">
        <v>0.12709999999999999</v>
      </c>
      <c r="F41" s="785"/>
      <c r="G41" s="830">
        <v>1.6E-2</v>
      </c>
      <c r="H41" s="791"/>
      <c r="J41" s="817"/>
      <c r="K41" s="817"/>
      <c r="L41" s="857"/>
      <c r="M41" s="818"/>
      <c r="R41" s="833"/>
    </row>
    <row r="42" spans="1:18" s="772" customFormat="1" ht="15" customHeight="1" x14ac:dyDescent="0.2">
      <c r="A42" s="792" t="s">
        <v>177</v>
      </c>
      <c r="B42" s="793" t="s">
        <v>338</v>
      </c>
      <c r="C42" s="828">
        <v>0.40039999999999998</v>
      </c>
      <c r="D42" s="794"/>
      <c r="E42" s="794">
        <v>0.40039999999999998</v>
      </c>
      <c r="F42" s="794"/>
      <c r="G42" s="845">
        <v>0.40039999999999998</v>
      </c>
      <c r="H42" s="795"/>
      <c r="J42" s="817"/>
      <c r="K42" s="817"/>
      <c r="L42" s="832"/>
      <c r="R42" s="833"/>
    </row>
    <row r="43" spans="1:18" s="772" customFormat="1" ht="15" customHeight="1" thickBot="1" x14ac:dyDescent="0.25">
      <c r="A43" s="766" t="s">
        <v>178</v>
      </c>
      <c r="B43" s="796"/>
      <c r="C43" s="829">
        <f>6.1922+0.0763-0.0037+0.3205-0.017+0.8241+0.833+0.8449+0.7732+0.4569+0.1323+0.0007+0.1544+0.0017+0.0428+0.0983+0.7798+0.0937+0.097+0.265+0.4004</f>
        <v>12.366499999999998</v>
      </c>
      <c r="D43" s="797"/>
      <c r="E43" s="829">
        <f>6.1922+0.0763-0.0037+0.3205-0.017+0.8241+0.833+0.9259+0.1323+0.0007+0.1544+0.0017+0.0428+0.0983+0.7798+0.0937+0.097+0.1271+0.4004</f>
        <v>11.079499999999999</v>
      </c>
      <c r="F43" s="796"/>
      <c r="G43" s="829">
        <f>6.1922+0.0763-0.0037+0.3205-0.017+0.833+0.1323+0.0007+0.1544+0.0017+0.0428+0.0983+0.7798+0.0937+0.097+0.016+0.4004</f>
        <v>9.2183999999999973</v>
      </c>
      <c r="H43" s="787"/>
      <c r="J43" s="846"/>
      <c r="K43" s="846"/>
      <c r="L43" s="829"/>
      <c r="R43" s="833"/>
    </row>
    <row r="44" spans="1:18" s="772" customFormat="1" ht="15" customHeight="1" thickTop="1" x14ac:dyDescent="0.2">
      <c r="A44" s="5" t="s">
        <v>179</v>
      </c>
      <c r="B44" s="807" t="s">
        <v>166</v>
      </c>
      <c r="C44" s="808">
        <f>C26</f>
        <v>5</v>
      </c>
      <c r="D44" s="808"/>
      <c r="E44" s="808">
        <f>E23+E26</f>
        <v>68.87</v>
      </c>
      <c r="F44" s="808"/>
      <c r="G44" s="808">
        <f>G23+G26</f>
        <v>68.87</v>
      </c>
      <c r="H44" s="809"/>
      <c r="J44" s="817"/>
      <c r="K44" s="817"/>
      <c r="L44" s="832"/>
      <c r="R44" s="833"/>
    </row>
    <row r="45" spans="1:18" s="772" customFormat="1" ht="15" customHeight="1" thickBot="1" x14ac:dyDescent="0.25">
      <c r="A45" s="798" t="s">
        <v>346</v>
      </c>
      <c r="B45" s="814" t="s">
        <v>339</v>
      </c>
      <c r="C45" s="804"/>
      <c r="D45" s="804"/>
      <c r="E45" s="804"/>
      <c r="F45" s="804"/>
      <c r="G45" s="805">
        <f>G20</f>
        <v>267.89999999999998</v>
      </c>
      <c r="H45" s="806"/>
      <c r="J45" s="817"/>
      <c r="K45" s="817"/>
      <c r="L45" s="832"/>
      <c r="R45" s="833"/>
    </row>
    <row r="46" spans="1:18" s="772" customFormat="1" ht="13.5" customHeight="1" thickTop="1" x14ac:dyDescent="0.2">
      <c r="A46" s="780"/>
      <c r="C46" s="799"/>
      <c r="E46" s="799"/>
      <c r="G46" s="799"/>
      <c r="H46" s="781"/>
      <c r="J46" s="856"/>
      <c r="K46" s="817"/>
      <c r="L46" s="832"/>
      <c r="R46" s="833"/>
    </row>
    <row r="47" spans="1:18" s="801" customFormat="1" ht="15" customHeight="1" x14ac:dyDescent="0.2">
      <c r="A47" s="800" t="s">
        <v>342</v>
      </c>
      <c r="B47" s="801" t="s">
        <v>343</v>
      </c>
      <c r="C47" s="816"/>
      <c r="E47" s="802" t="s">
        <v>344</v>
      </c>
      <c r="F47" s="802" t="s">
        <v>193</v>
      </c>
      <c r="G47" s="802"/>
      <c r="H47" s="791"/>
      <c r="J47" s="847"/>
      <c r="K47" s="848"/>
      <c r="L47" s="849"/>
      <c r="R47" s="850"/>
    </row>
    <row r="48" spans="1:18" s="772" customFormat="1" ht="15" customHeight="1" x14ac:dyDescent="0.2">
      <c r="A48" s="800"/>
      <c r="B48" s="801"/>
      <c r="C48" s="802"/>
      <c r="E48" s="802"/>
      <c r="F48" s="802" t="s">
        <v>193</v>
      </c>
      <c r="G48" s="802"/>
      <c r="H48" s="781"/>
      <c r="J48" s="817"/>
      <c r="K48" s="817"/>
      <c r="L48" s="832"/>
      <c r="R48" s="833"/>
    </row>
    <row r="49" spans="1:18" s="852" customFormat="1" ht="15" customHeight="1" x14ac:dyDescent="0.2">
      <c r="A49" s="810" t="s">
        <v>341</v>
      </c>
      <c r="B49" s="851"/>
      <c r="C49" s="811"/>
      <c r="D49" s="811"/>
      <c r="E49" s="811"/>
      <c r="F49" s="811"/>
      <c r="G49" s="811"/>
      <c r="H49" s="815"/>
      <c r="J49" s="853"/>
      <c r="K49" s="853"/>
      <c r="L49" s="854"/>
      <c r="R49" s="855"/>
    </row>
    <row r="50" spans="1:18" s="801" customFormat="1" ht="15" customHeight="1" thickBot="1" x14ac:dyDescent="0.25">
      <c r="A50" s="1053" t="s">
        <v>345</v>
      </c>
      <c r="B50" s="1054"/>
      <c r="C50" s="1054"/>
      <c r="D50" s="1054"/>
      <c r="E50" s="1054"/>
      <c r="F50" s="1054"/>
      <c r="G50" s="1054"/>
      <c r="H50" s="1055"/>
      <c r="J50" s="848"/>
      <c r="K50" s="848"/>
      <c r="L50" s="849"/>
      <c r="R50" s="850"/>
    </row>
  </sheetData>
  <mergeCells count="4">
    <mergeCell ref="A8:B8"/>
    <mergeCell ref="D8:F8"/>
    <mergeCell ref="G8:H8"/>
    <mergeCell ref="A50:H50"/>
  </mergeCells>
  <phoneticPr fontId="34" type="noConversion"/>
  <printOptions horizontalCentered="1"/>
  <pageMargins left="0.72" right="0.66929133858267698" top="0.46" bottom="0.43307086614173201" header="0.511811023622047" footer="0.34"/>
  <pageSetup scale="96" orientation="portrait" horizontalDpi="4294967295" verticalDpi="4294967295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0"/>
  <sheetViews>
    <sheetView topLeftCell="A37" zoomScale="110" zoomScaleNormal="110" workbookViewId="0">
      <selection activeCell="A54" sqref="A54"/>
    </sheetView>
  </sheetViews>
  <sheetFormatPr defaultRowHeight="15" customHeight="1" x14ac:dyDescent="0.2"/>
  <cols>
    <col min="1" max="1" width="40.42578125" style="858" customWidth="1"/>
    <col min="2" max="2" width="12" style="858" customWidth="1"/>
    <col min="3" max="3" width="12.7109375" style="858" customWidth="1"/>
    <col min="4" max="4" width="1.7109375" style="858" customWidth="1"/>
    <col min="5" max="5" width="10.85546875" style="858" customWidth="1"/>
    <col min="6" max="6" width="11.85546875" style="858" hidden="1" customWidth="1"/>
    <col min="7" max="7" width="13.42578125" style="858" customWidth="1"/>
    <col min="8" max="8" width="1.140625" style="858" customWidth="1"/>
    <col min="9" max="9" width="18.7109375" style="858" bestFit="1" customWidth="1"/>
    <col min="10" max="10" width="17.5703125" style="860" customWidth="1"/>
    <col min="11" max="11" width="14.42578125" style="860" customWidth="1"/>
    <col min="12" max="12" width="12.7109375" style="861" customWidth="1"/>
    <col min="13" max="13" width="15.5703125" style="858" customWidth="1"/>
    <col min="14" max="14" width="10" style="858" customWidth="1"/>
    <col min="15" max="15" width="16.140625" style="858" bestFit="1" customWidth="1"/>
    <col min="16" max="17" width="7.85546875" style="858" bestFit="1" customWidth="1"/>
    <col min="18" max="18" width="9.5703125" style="862" bestFit="1" customWidth="1"/>
    <col min="19" max="19" width="16.5703125" style="858" customWidth="1"/>
    <col min="20" max="20" width="12.28515625" style="858" customWidth="1"/>
    <col min="21" max="21" width="12.5703125" style="858" customWidth="1"/>
    <col min="22" max="22" width="9.140625" style="858"/>
    <col min="23" max="23" width="16.42578125" style="858" customWidth="1"/>
    <col min="24" max="24" width="17.5703125" style="858" customWidth="1"/>
    <col min="25" max="25" width="16" style="858" customWidth="1"/>
    <col min="26" max="26" width="15" style="858" customWidth="1"/>
    <col min="27" max="27" width="14.28515625" style="858" bestFit="1" customWidth="1"/>
    <col min="28" max="29" width="14.140625" style="858" customWidth="1"/>
    <col min="30" max="16384" width="9.140625" style="858"/>
  </cols>
  <sheetData>
    <row r="1" spans="1:19" ht="15" customHeight="1" thickBot="1" x14ac:dyDescent="0.25">
      <c r="E1" s="859"/>
    </row>
    <row r="2" spans="1:19" s="823" customFormat="1" ht="15" customHeight="1" x14ac:dyDescent="0.2">
      <c r="A2" s="863"/>
      <c r="B2" s="864"/>
      <c r="C2" s="864"/>
      <c r="D2" s="864"/>
      <c r="E2" s="864"/>
      <c r="F2" s="864"/>
      <c r="G2" s="864"/>
      <c r="H2" s="865"/>
      <c r="J2" s="866"/>
      <c r="K2" s="866"/>
      <c r="L2" s="867"/>
      <c r="R2" s="868"/>
    </row>
    <row r="3" spans="1:19" s="823" customFormat="1" ht="15" customHeight="1" x14ac:dyDescent="0.2">
      <c r="A3" s="869"/>
      <c r="H3" s="870"/>
      <c r="J3" s="866"/>
      <c r="K3" s="866"/>
      <c r="L3" s="867"/>
      <c r="R3" s="868"/>
    </row>
    <row r="4" spans="1:19" s="823" customFormat="1" ht="15" customHeight="1" x14ac:dyDescent="0.2">
      <c r="A4" s="869"/>
      <c r="H4" s="870"/>
      <c r="J4" s="866"/>
      <c r="K4" s="866"/>
      <c r="L4" s="867"/>
      <c r="R4" s="868"/>
    </row>
    <row r="5" spans="1:19" s="823" customFormat="1" ht="15" customHeight="1" x14ac:dyDescent="0.2">
      <c r="A5" s="871" t="s">
        <v>60</v>
      </c>
      <c r="H5" s="870"/>
      <c r="J5" s="866"/>
      <c r="K5" s="866"/>
      <c r="L5" s="867"/>
      <c r="R5" s="868"/>
    </row>
    <row r="6" spans="1:19" s="823" customFormat="1" ht="15" customHeight="1" x14ac:dyDescent="0.2">
      <c r="A6" s="872" t="s">
        <v>352</v>
      </c>
      <c r="H6" s="870"/>
      <c r="J6" s="866"/>
      <c r="K6" s="866"/>
      <c r="L6" s="867"/>
      <c r="R6" s="868"/>
    </row>
    <row r="7" spans="1:19" s="823" customFormat="1" ht="15" customHeight="1" x14ac:dyDescent="0.2">
      <c r="A7" s="873"/>
      <c r="H7" s="870"/>
      <c r="J7" s="866"/>
      <c r="K7" s="866"/>
      <c r="L7" s="867"/>
      <c r="R7" s="868"/>
    </row>
    <row r="8" spans="1:19" s="823" customFormat="1" ht="15" customHeight="1" x14ac:dyDescent="0.2">
      <c r="A8" s="1056" t="s">
        <v>318</v>
      </c>
      <c r="B8" s="1057"/>
      <c r="C8" s="937" t="s">
        <v>6</v>
      </c>
      <c r="D8" s="1058" t="s">
        <v>47</v>
      </c>
      <c r="E8" s="1059"/>
      <c r="F8" s="1060"/>
      <c r="G8" s="1058" t="s">
        <v>13</v>
      </c>
      <c r="H8" s="1061"/>
      <c r="J8" s="866"/>
      <c r="K8" s="866"/>
      <c r="L8" s="867"/>
      <c r="R8" s="868"/>
    </row>
    <row r="9" spans="1:19" s="823" customFormat="1" ht="15" customHeight="1" x14ac:dyDescent="0.2">
      <c r="A9" s="871" t="s">
        <v>149</v>
      </c>
      <c r="H9" s="870"/>
      <c r="J9" s="866"/>
      <c r="K9" s="866"/>
      <c r="L9" s="867"/>
      <c r="R9" s="868"/>
    </row>
    <row r="10" spans="1:19" s="823" customFormat="1" ht="15" customHeight="1" x14ac:dyDescent="0.2">
      <c r="A10" s="869" t="s">
        <v>150</v>
      </c>
      <c r="B10" s="823" t="s">
        <v>338</v>
      </c>
      <c r="C10" s="821">
        <v>7.6668000000000003</v>
      </c>
      <c r="D10" s="874"/>
      <c r="E10" s="821">
        <f>C10</f>
        <v>7.6668000000000003</v>
      </c>
      <c r="F10" s="821"/>
      <c r="G10" s="821">
        <f>C10</f>
        <v>7.6668000000000003</v>
      </c>
      <c r="H10" s="875"/>
      <c r="I10" s="876"/>
      <c r="J10" s="877"/>
      <c r="K10" s="877"/>
      <c r="L10" s="867"/>
      <c r="Q10" s="878"/>
      <c r="R10" s="879"/>
    </row>
    <row r="11" spans="1:19" s="823" customFormat="1" ht="15" customHeight="1" x14ac:dyDescent="0.2">
      <c r="A11" s="869" t="s">
        <v>347</v>
      </c>
      <c r="B11" s="823" t="s">
        <v>338</v>
      </c>
      <c r="C11" s="821">
        <v>9.3799999999999994E-2</v>
      </c>
      <c r="D11" s="874"/>
      <c r="E11" s="821">
        <f>C11</f>
        <v>9.3799999999999994E-2</v>
      </c>
      <c r="F11" s="821"/>
      <c r="G11" s="821">
        <f t="shared" ref="G11:G14" si="0">C11</f>
        <v>9.3799999999999994E-2</v>
      </c>
      <c r="H11" s="875"/>
      <c r="I11" s="876"/>
      <c r="J11" s="877"/>
      <c r="K11" s="877"/>
      <c r="L11" s="867"/>
      <c r="Q11" s="821"/>
      <c r="R11" s="868"/>
    </row>
    <row r="12" spans="1:19" s="823" customFormat="1" ht="15" customHeight="1" x14ac:dyDescent="0.2">
      <c r="A12" s="869" t="s">
        <v>348</v>
      </c>
      <c r="B12" s="823" t="s">
        <v>338</v>
      </c>
      <c r="C12" s="821">
        <v>-4.5999999999999999E-3</v>
      </c>
      <c r="D12" s="874"/>
      <c r="E12" s="821">
        <f t="shared" ref="E12:E14" si="1">C12</f>
        <v>-4.5999999999999999E-3</v>
      </c>
      <c r="F12" s="821"/>
      <c r="G12" s="821">
        <f t="shared" si="0"/>
        <v>-4.5999999999999999E-3</v>
      </c>
      <c r="H12" s="875"/>
      <c r="I12" s="876"/>
      <c r="J12" s="877"/>
      <c r="K12" s="877"/>
      <c r="L12" s="867"/>
      <c r="P12" s="821"/>
      <c r="Q12" s="821"/>
      <c r="R12" s="868"/>
      <c r="S12" s="880"/>
    </row>
    <row r="13" spans="1:19" s="823" customFormat="1" ht="15" customHeight="1" x14ac:dyDescent="0.2">
      <c r="A13" s="869" t="s">
        <v>350</v>
      </c>
      <c r="B13" s="823" t="s">
        <v>338</v>
      </c>
      <c r="C13" s="821">
        <v>0.39429999999999998</v>
      </c>
      <c r="D13" s="874"/>
      <c r="E13" s="821">
        <f t="shared" si="1"/>
        <v>0.39429999999999998</v>
      </c>
      <c r="F13" s="821"/>
      <c r="G13" s="821">
        <f t="shared" si="0"/>
        <v>0.39429999999999998</v>
      </c>
      <c r="H13" s="875"/>
      <c r="I13" s="876"/>
      <c r="J13" s="877"/>
      <c r="K13" s="877"/>
      <c r="L13" s="867"/>
      <c r="Q13" s="821"/>
      <c r="R13" s="881"/>
      <c r="S13" s="881"/>
    </row>
    <row r="14" spans="1:19" s="823" customFormat="1" ht="15" customHeight="1" x14ac:dyDescent="0.2">
      <c r="A14" s="869" t="s">
        <v>349</v>
      </c>
      <c r="B14" s="823" t="s">
        <v>338</v>
      </c>
      <c r="C14" s="821">
        <v>-2.0899999999999998E-2</v>
      </c>
      <c r="D14" s="874"/>
      <c r="E14" s="821">
        <f t="shared" si="1"/>
        <v>-2.0899999999999998E-2</v>
      </c>
      <c r="F14" s="821"/>
      <c r="G14" s="821">
        <f t="shared" si="0"/>
        <v>-2.0899999999999998E-2</v>
      </c>
      <c r="H14" s="875"/>
      <c r="I14" s="876"/>
      <c r="J14" s="877"/>
      <c r="K14" s="877"/>
      <c r="L14" s="867"/>
      <c r="Q14" s="821"/>
      <c r="R14" s="881"/>
      <c r="S14" s="881"/>
    </row>
    <row r="15" spans="1:19" s="823" customFormat="1" ht="15" customHeight="1" x14ac:dyDescent="0.2">
      <c r="A15" s="871" t="s">
        <v>156</v>
      </c>
      <c r="C15" s="822"/>
      <c r="D15" s="822"/>
      <c r="E15" s="822"/>
      <c r="F15" s="822"/>
      <c r="G15" s="822"/>
      <c r="H15" s="882"/>
      <c r="J15" s="866"/>
      <c r="K15" s="866"/>
      <c r="L15" s="867"/>
      <c r="P15" s="883"/>
      <c r="Q15" s="884"/>
      <c r="R15" s="885"/>
    </row>
    <row r="16" spans="1:19" s="823" customFormat="1" ht="15" customHeight="1" x14ac:dyDescent="0.2">
      <c r="A16" s="869" t="s">
        <v>157</v>
      </c>
      <c r="B16" s="823" t="s">
        <v>339</v>
      </c>
      <c r="C16" s="821"/>
      <c r="D16" s="821"/>
      <c r="E16" s="821"/>
      <c r="F16" s="821"/>
      <c r="G16" s="821">
        <v>75.429100000000005</v>
      </c>
      <c r="H16" s="882"/>
      <c r="J16" s="877"/>
      <c r="K16" s="877"/>
      <c r="L16" s="867"/>
      <c r="R16" s="868"/>
    </row>
    <row r="17" spans="1:18" s="823" customFormat="1" ht="15" customHeight="1" x14ac:dyDescent="0.2">
      <c r="A17" s="869" t="s">
        <v>159</v>
      </c>
      <c r="B17" s="823" t="s">
        <v>338</v>
      </c>
      <c r="C17" s="821">
        <v>0.73309999999999997</v>
      </c>
      <c r="D17" s="821"/>
      <c r="E17" s="821">
        <v>0.73309297328159295</v>
      </c>
      <c r="F17" s="821"/>
      <c r="G17" s="821"/>
      <c r="H17" s="882"/>
      <c r="J17" s="877"/>
      <c r="K17" s="877"/>
      <c r="L17" s="867"/>
      <c r="R17" s="868"/>
    </row>
    <row r="18" spans="1:18" s="823" customFormat="1" ht="15" customHeight="1" x14ac:dyDescent="0.2">
      <c r="A18" s="871" t="s">
        <v>160</v>
      </c>
      <c r="B18" s="823" t="s">
        <v>338</v>
      </c>
      <c r="C18" s="821">
        <v>0.93810000000000004</v>
      </c>
      <c r="D18" s="821"/>
      <c r="E18" s="821">
        <f>C18</f>
        <v>0.93810000000000004</v>
      </c>
      <c r="F18" s="821"/>
      <c r="G18" s="821">
        <f>C18</f>
        <v>0.93810000000000004</v>
      </c>
      <c r="H18" s="882"/>
      <c r="J18" s="877"/>
      <c r="K18" s="877"/>
      <c r="L18" s="867"/>
      <c r="R18" s="868"/>
    </row>
    <row r="19" spans="1:18" s="823" customFormat="1" ht="15" customHeight="1" x14ac:dyDescent="0.2">
      <c r="A19" s="871" t="s">
        <v>161</v>
      </c>
      <c r="C19" s="821"/>
      <c r="D19" s="821"/>
      <c r="E19" s="821"/>
      <c r="F19" s="821"/>
      <c r="G19" s="821"/>
      <c r="H19" s="875"/>
      <c r="J19" s="866"/>
      <c r="K19" s="866"/>
      <c r="L19" s="867"/>
      <c r="R19" s="868"/>
    </row>
    <row r="20" spans="1:18" s="823" customFormat="1" ht="15" customHeight="1" x14ac:dyDescent="0.2">
      <c r="A20" s="869" t="s">
        <v>162</v>
      </c>
      <c r="B20" s="823" t="s">
        <v>339</v>
      </c>
      <c r="C20" s="821"/>
      <c r="D20" s="821"/>
      <c r="E20" s="821"/>
      <c r="F20" s="821"/>
      <c r="G20" s="824">
        <v>267.89999999999998</v>
      </c>
      <c r="H20" s="875"/>
      <c r="J20" s="877"/>
      <c r="K20" s="877"/>
      <c r="L20" s="867"/>
      <c r="R20" s="868"/>
    </row>
    <row r="21" spans="1:18" s="823" customFormat="1" ht="15" customHeight="1" x14ac:dyDescent="0.2">
      <c r="A21" s="869" t="s">
        <v>163</v>
      </c>
      <c r="B21" s="823" t="s">
        <v>338</v>
      </c>
      <c r="C21" s="821">
        <v>0.84489999999999998</v>
      </c>
      <c r="D21" s="886"/>
      <c r="E21" s="887">
        <v>0.92589999999999995</v>
      </c>
      <c r="F21" s="821"/>
      <c r="G21" s="821"/>
      <c r="H21" s="875"/>
      <c r="J21" s="877"/>
      <c r="K21" s="877"/>
      <c r="L21" s="867"/>
      <c r="M21" s="821"/>
      <c r="R21" s="868"/>
    </row>
    <row r="22" spans="1:18" s="823" customFormat="1" ht="15" customHeight="1" x14ac:dyDescent="0.2">
      <c r="A22" s="871" t="s">
        <v>164</v>
      </c>
      <c r="C22" s="821"/>
      <c r="D22" s="886"/>
      <c r="E22" s="821"/>
      <c r="F22" s="821"/>
      <c r="G22" s="821"/>
      <c r="H22" s="875"/>
      <c r="J22" s="866"/>
      <c r="K22" s="866"/>
      <c r="L22" s="867"/>
      <c r="R22" s="868"/>
    </row>
    <row r="23" spans="1:18" s="823" customFormat="1" ht="15" customHeight="1" x14ac:dyDescent="0.2">
      <c r="A23" s="869" t="s">
        <v>334</v>
      </c>
      <c r="B23" s="823" t="s">
        <v>166</v>
      </c>
      <c r="C23" s="821"/>
      <c r="D23" s="886"/>
      <c r="E23" s="888">
        <v>40.15</v>
      </c>
      <c r="F23" s="824"/>
      <c r="G23" s="888">
        <v>40.15</v>
      </c>
      <c r="H23" s="875"/>
      <c r="J23" s="877"/>
      <c r="K23" s="877"/>
      <c r="L23" s="867"/>
      <c r="M23" s="821"/>
      <c r="R23" s="868"/>
    </row>
    <row r="24" spans="1:18" s="823" customFormat="1" ht="15" customHeight="1" x14ac:dyDescent="0.2">
      <c r="A24" s="869" t="s">
        <v>167</v>
      </c>
      <c r="B24" s="823" t="s">
        <v>338</v>
      </c>
      <c r="C24" s="821">
        <v>0.7732</v>
      </c>
      <c r="D24" s="886"/>
      <c r="E24" s="821"/>
      <c r="F24" s="821"/>
      <c r="G24" s="821"/>
      <c r="H24" s="875"/>
      <c r="J24" s="877"/>
      <c r="K24" s="877"/>
      <c r="L24" s="867"/>
      <c r="R24" s="868"/>
    </row>
    <row r="25" spans="1:18" s="823" customFormat="1" ht="15" customHeight="1" x14ac:dyDescent="0.2">
      <c r="A25" s="871" t="s">
        <v>168</v>
      </c>
      <c r="D25" s="886"/>
      <c r="E25" s="821"/>
      <c r="F25" s="821"/>
      <c r="G25" s="821"/>
      <c r="H25" s="875"/>
      <c r="I25" s="821"/>
      <c r="J25" s="866"/>
      <c r="K25" s="866"/>
      <c r="L25" s="867"/>
      <c r="R25" s="868"/>
    </row>
    <row r="26" spans="1:18" s="823" customFormat="1" ht="15" customHeight="1" x14ac:dyDescent="0.2">
      <c r="A26" s="869" t="s">
        <v>221</v>
      </c>
      <c r="B26" s="823" t="s">
        <v>170</v>
      </c>
      <c r="C26" s="824">
        <v>5</v>
      </c>
      <c r="D26" s="886"/>
      <c r="E26" s="888">
        <v>28.72</v>
      </c>
      <c r="F26" s="824"/>
      <c r="G26" s="888">
        <v>28.72</v>
      </c>
      <c r="H26" s="875"/>
      <c r="J26" s="877"/>
      <c r="K26" s="877"/>
      <c r="L26" s="867"/>
      <c r="R26" s="868"/>
    </row>
    <row r="27" spans="1:18" s="823" customFormat="1" ht="15" customHeight="1" x14ac:dyDescent="0.2">
      <c r="A27" s="869" t="s">
        <v>171</v>
      </c>
      <c r="B27" s="823" t="s">
        <v>338</v>
      </c>
      <c r="C27" s="821">
        <v>0.45689999999999997</v>
      </c>
      <c r="D27" s="821"/>
      <c r="E27" s="821"/>
      <c r="F27" s="821"/>
      <c r="G27" s="821"/>
      <c r="H27" s="875"/>
      <c r="J27" s="877"/>
      <c r="K27" s="877"/>
      <c r="L27" s="867"/>
      <c r="R27" s="868"/>
    </row>
    <row r="28" spans="1:18" s="823" customFormat="1" ht="15" customHeight="1" x14ac:dyDescent="0.2">
      <c r="A28" s="889" t="s">
        <v>268</v>
      </c>
      <c r="B28" s="890" t="s">
        <v>338</v>
      </c>
      <c r="C28" s="825">
        <v>0.1139</v>
      </c>
      <c r="D28" s="891"/>
      <c r="E28" s="892">
        <f>C28</f>
        <v>0.1139</v>
      </c>
      <c r="F28" s="891"/>
      <c r="G28" s="892">
        <f>C28</f>
        <v>0.1139</v>
      </c>
      <c r="H28" s="882"/>
      <c r="J28" s="877"/>
      <c r="K28" s="877"/>
      <c r="L28" s="867"/>
      <c r="R28" s="868"/>
    </row>
    <row r="29" spans="1:18" s="823" customFormat="1" ht="15" customHeight="1" x14ac:dyDescent="0.2">
      <c r="A29" s="893" t="s">
        <v>269</v>
      </c>
      <c r="B29" s="823" t="s">
        <v>338</v>
      </c>
      <c r="C29" s="826">
        <v>8.9999999999999998E-4</v>
      </c>
      <c r="D29" s="894"/>
      <c r="E29" s="826">
        <f>C29</f>
        <v>8.9999999999999998E-4</v>
      </c>
      <c r="F29" s="894"/>
      <c r="G29" s="826">
        <f>C29</f>
        <v>8.9999999999999998E-4</v>
      </c>
      <c r="H29" s="882"/>
      <c r="I29" s="883"/>
      <c r="J29" s="877"/>
      <c r="K29" s="877"/>
      <c r="L29" s="867"/>
      <c r="R29" s="868"/>
    </row>
    <row r="30" spans="1:18" s="823" customFormat="1" ht="16.5" customHeight="1" x14ac:dyDescent="0.2">
      <c r="A30" s="871" t="s">
        <v>174</v>
      </c>
      <c r="C30" s="821"/>
      <c r="D30" s="821"/>
      <c r="E30" s="821"/>
      <c r="F30" s="821"/>
      <c r="G30" s="821"/>
      <c r="H30" s="875"/>
      <c r="J30" s="866"/>
      <c r="K30" s="866"/>
      <c r="L30" s="867"/>
      <c r="R30" s="868"/>
    </row>
    <row r="31" spans="1:18" s="823" customFormat="1" ht="15" customHeight="1" x14ac:dyDescent="0.2">
      <c r="A31" s="869" t="s">
        <v>175</v>
      </c>
      <c r="B31" s="823" t="s">
        <v>338</v>
      </c>
      <c r="C31" s="821">
        <v>0.15440000000000001</v>
      </c>
      <c r="D31" s="821"/>
      <c r="E31" s="821">
        <f t="shared" ref="E31:E36" si="2">C31</f>
        <v>0.15440000000000001</v>
      </c>
      <c r="F31" s="821"/>
      <c r="G31" s="821">
        <f>C31</f>
        <v>0.15440000000000001</v>
      </c>
      <c r="H31" s="895"/>
      <c r="J31" s="877"/>
      <c r="K31" s="877"/>
      <c r="L31" s="867"/>
      <c r="R31" s="868"/>
    </row>
    <row r="32" spans="1:18" s="823" customFormat="1" ht="15" customHeight="1" x14ac:dyDescent="0.2">
      <c r="A32" s="869" t="s">
        <v>176</v>
      </c>
      <c r="B32" s="823" t="s">
        <v>338</v>
      </c>
      <c r="C32" s="821"/>
      <c r="D32" s="821"/>
      <c r="E32" s="821"/>
      <c r="F32" s="821"/>
      <c r="G32" s="887"/>
      <c r="H32" s="875"/>
      <c r="I32" s="821"/>
      <c r="J32" s="877"/>
      <c r="K32" s="877"/>
      <c r="L32" s="867"/>
      <c r="R32" s="868"/>
    </row>
    <row r="33" spans="1:18" s="823" customFormat="1" ht="15" customHeight="1" x14ac:dyDescent="0.2">
      <c r="A33" s="869" t="s">
        <v>200</v>
      </c>
      <c r="B33" s="823" t="s">
        <v>338</v>
      </c>
      <c r="C33" s="821"/>
      <c r="D33" s="821"/>
      <c r="E33" s="821"/>
      <c r="F33" s="821"/>
      <c r="G33" s="887"/>
      <c r="H33" s="875"/>
      <c r="I33" s="821"/>
      <c r="J33" s="877"/>
      <c r="K33" s="877"/>
      <c r="L33" s="867"/>
      <c r="R33" s="868"/>
    </row>
    <row r="34" spans="1:18" s="823" customFormat="1" ht="15" customHeight="1" x14ac:dyDescent="0.2">
      <c r="A34" s="869" t="s">
        <v>337</v>
      </c>
      <c r="B34" s="823" t="s">
        <v>338</v>
      </c>
      <c r="C34" s="821">
        <v>1.6999999999999999E-3</v>
      </c>
      <c r="D34" s="821"/>
      <c r="E34" s="821">
        <f t="shared" si="2"/>
        <v>1.6999999999999999E-3</v>
      </c>
      <c r="F34" s="821"/>
      <c r="G34" s="887">
        <f t="shared" ref="G34:G36" si="3">C34</f>
        <v>1.6999999999999999E-3</v>
      </c>
      <c r="H34" s="895"/>
      <c r="J34" s="877"/>
      <c r="K34" s="877"/>
      <c r="L34" s="867"/>
      <c r="O34" s="896"/>
      <c r="P34" s="896"/>
      <c r="Q34" s="896"/>
      <c r="R34" s="868"/>
    </row>
    <row r="35" spans="1:18" s="823" customFormat="1" ht="15" customHeight="1" x14ac:dyDescent="0.2">
      <c r="A35" s="869" t="s">
        <v>340</v>
      </c>
      <c r="B35" s="823" t="s">
        <v>338</v>
      </c>
      <c r="C35" s="821">
        <v>4.2799999999999998E-2</v>
      </c>
      <c r="D35" s="821"/>
      <c r="E35" s="821">
        <f t="shared" si="2"/>
        <v>4.2799999999999998E-2</v>
      </c>
      <c r="F35" s="821"/>
      <c r="G35" s="887">
        <f t="shared" si="3"/>
        <v>4.2799999999999998E-2</v>
      </c>
      <c r="H35" s="895"/>
      <c r="I35" s="821"/>
      <c r="J35" s="877"/>
      <c r="K35" s="877"/>
      <c r="L35" s="867"/>
      <c r="R35" s="868"/>
    </row>
    <row r="36" spans="1:18" s="823" customFormat="1" ht="15" customHeight="1" x14ac:dyDescent="0.2">
      <c r="A36" s="893" t="s">
        <v>335</v>
      </c>
      <c r="B36" s="823" t="s">
        <v>338</v>
      </c>
      <c r="C36" s="827">
        <v>9.8299999999999998E-2</v>
      </c>
      <c r="D36" s="891"/>
      <c r="E36" s="827">
        <f t="shared" si="2"/>
        <v>9.8299999999999998E-2</v>
      </c>
      <c r="F36" s="891"/>
      <c r="G36" s="827">
        <f t="shared" si="3"/>
        <v>9.8299999999999998E-2</v>
      </c>
      <c r="H36" s="895"/>
      <c r="J36" s="877"/>
      <c r="K36" s="877"/>
      <c r="L36" s="867"/>
      <c r="R36" s="868"/>
    </row>
    <row r="37" spans="1:18" s="823" customFormat="1" ht="15" customHeight="1" x14ac:dyDescent="0.2">
      <c r="A37" s="871" t="s">
        <v>182</v>
      </c>
      <c r="C37" s="821"/>
      <c r="D37" s="821"/>
      <c r="E37" s="887"/>
      <c r="F37" s="821"/>
      <c r="G37" s="887"/>
      <c r="H37" s="895"/>
      <c r="J37" s="866"/>
      <c r="K37" s="866"/>
      <c r="L37" s="867"/>
      <c r="R37" s="868"/>
    </row>
    <row r="38" spans="1:18" s="823" customFormat="1" ht="15" customHeight="1" x14ac:dyDescent="0.2">
      <c r="A38" s="869" t="s">
        <v>211</v>
      </c>
      <c r="B38" s="823" t="s">
        <v>338</v>
      </c>
      <c r="C38" s="821">
        <v>0.80759999999999998</v>
      </c>
      <c r="D38" s="821"/>
      <c r="E38" s="821">
        <f>C38</f>
        <v>0.80759999999999998</v>
      </c>
      <c r="F38" s="821"/>
      <c r="G38" s="887">
        <f>C38</f>
        <v>0.80759999999999998</v>
      </c>
      <c r="H38" s="895"/>
      <c r="J38" s="877"/>
      <c r="K38" s="877"/>
      <c r="L38" s="867"/>
      <c r="M38" s="897"/>
      <c r="R38" s="868"/>
    </row>
    <row r="39" spans="1:18" s="823" customFormat="1" ht="15" customHeight="1" x14ac:dyDescent="0.2">
      <c r="A39" s="869" t="s">
        <v>212</v>
      </c>
      <c r="B39" s="823" t="s">
        <v>338</v>
      </c>
      <c r="C39" s="821">
        <v>8.6400000000000005E-2</v>
      </c>
      <c r="D39" s="821"/>
      <c r="E39" s="821">
        <f>C39</f>
        <v>8.6400000000000005E-2</v>
      </c>
      <c r="F39" s="821"/>
      <c r="G39" s="887">
        <f>C39</f>
        <v>8.6400000000000005E-2</v>
      </c>
      <c r="H39" s="895"/>
      <c r="J39" s="877"/>
      <c r="K39" s="877"/>
      <c r="L39" s="867"/>
      <c r="M39" s="897"/>
      <c r="R39" s="868"/>
    </row>
    <row r="40" spans="1:18" s="823" customFormat="1" ht="15" customHeight="1" x14ac:dyDescent="0.2">
      <c r="A40" s="869" t="s">
        <v>213</v>
      </c>
      <c r="B40" s="823" t="s">
        <v>338</v>
      </c>
      <c r="C40" s="821">
        <v>9.4200000000000006E-2</v>
      </c>
      <c r="D40" s="821"/>
      <c r="E40" s="821">
        <f>C40</f>
        <v>9.4200000000000006E-2</v>
      </c>
      <c r="F40" s="821"/>
      <c r="G40" s="887">
        <f>C40</f>
        <v>9.4200000000000006E-2</v>
      </c>
      <c r="H40" s="895"/>
      <c r="J40" s="877"/>
      <c r="K40" s="877"/>
      <c r="L40" s="867"/>
      <c r="M40" s="897"/>
      <c r="R40" s="868"/>
    </row>
    <row r="41" spans="1:18" s="823" customFormat="1" ht="15" customHeight="1" x14ac:dyDescent="0.2">
      <c r="A41" s="869" t="s">
        <v>214</v>
      </c>
      <c r="B41" s="823" t="s">
        <v>338</v>
      </c>
      <c r="C41" s="821">
        <v>0.26279999999999998</v>
      </c>
      <c r="D41" s="821"/>
      <c r="E41" s="821">
        <v>0.1249</v>
      </c>
      <c r="F41" s="821"/>
      <c r="G41" s="887">
        <v>1.38E-2</v>
      </c>
      <c r="H41" s="895"/>
      <c r="J41" s="877"/>
      <c r="K41" s="877"/>
      <c r="L41" s="898"/>
      <c r="M41" s="897"/>
      <c r="R41" s="868"/>
    </row>
    <row r="42" spans="1:18" s="823" customFormat="1" ht="15" customHeight="1" x14ac:dyDescent="0.2">
      <c r="A42" s="899" t="s">
        <v>177</v>
      </c>
      <c r="B42" s="900" t="s">
        <v>338</v>
      </c>
      <c r="C42" s="828">
        <v>0.40039999999999998</v>
      </c>
      <c r="D42" s="828"/>
      <c r="E42" s="828">
        <v>0.40039999999999998</v>
      </c>
      <c r="F42" s="828"/>
      <c r="G42" s="901">
        <f>C42</f>
        <v>0.40039999999999998</v>
      </c>
      <c r="H42" s="902"/>
      <c r="J42" s="877"/>
      <c r="K42" s="877"/>
      <c r="L42" s="867"/>
      <c r="R42" s="868"/>
    </row>
    <row r="43" spans="1:18" s="823" customFormat="1" ht="15" customHeight="1" thickBot="1" x14ac:dyDescent="0.25">
      <c r="A43" s="936" t="s">
        <v>178</v>
      </c>
      <c r="B43" s="903"/>
      <c r="C43" s="904">
        <f>7.6668+0.0938-0.0046+0.3943-0.0209+0.7331+0.9381+0.8449+0.7732+0.4569+0.1139+0.0009+0.1544+0.0017+0.0428+0.0983+0.8076+0.0864+0.0942+0.2628+0.4004</f>
        <v>13.939</v>
      </c>
      <c r="D43" s="905"/>
      <c r="E43" s="904">
        <f>7.6668+0.0938-0.0046+0.3943-0.0209+0.7331+0.9381+0.9259+0.1139+0.0009+0.1544+0.0017+0.0428+0.0983+0.8076+0.0864+0.0942+0.1249+0.4004</f>
        <v>12.652000000000001</v>
      </c>
      <c r="F43" s="903"/>
      <c r="G43" s="904">
        <f>7.6668+0.0938-0.0046+0.3943-0.0209+0.9381+0.1139+0.0009+0.1544+0.0017+0.0428+0.0983+0.8076+0.0864+0.0942+0.0138+0.4004</f>
        <v>10.8819</v>
      </c>
      <c r="H43" s="882"/>
      <c r="J43" s="906"/>
      <c r="K43" s="906"/>
      <c r="L43" s="904"/>
      <c r="R43" s="868"/>
    </row>
    <row r="44" spans="1:18" s="823" customFormat="1" ht="15" customHeight="1" thickTop="1" x14ac:dyDescent="0.2">
      <c r="A44" s="907" t="s">
        <v>179</v>
      </c>
      <c r="B44" s="908" t="s">
        <v>166</v>
      </c>
      <c r="C44" s="909">
        <f>C26</f>
        <v>5</v>
      </c>
      <c r="D44" s="909"/>
      <c r="E44" s="909">
        <f>E23+E26</f>
        <v>68.87</v>
      </c>
      <c r="F44" s="909"/>
      <c r="G44" s="909">
        <f>G23+G26</f>
        <v>68.87</v>
      </c>
      <c r="H44" s="910"/>
      <c r="J44" s="877"/>
      <c r="K44" s="877"/>
      <c r="L44" s="867"/>
      <c r="R44" s="868"/>
    </row>
    <row r="45" spans="1:18" s="823" customFormat="1" ht="15" customHeight="1" thickBot="1" x14ac:dyDescent="0.25">
      <c r="A45" s="911" t="s">
        <v>346</v>
      </c>
      <c r="B45" s="912" t="s">
        <v>339</v>
      </c>
      <c r="C45" s="913"/>
      <c r="D45" s="913"/>
      <c r="E45" s="913"/>
      <c r="F45" s="913"/>
      <c r="G45" s="914">
        <f>G20</f>
        <v>267.89999999999998</v>
      </c>
      <c r="H45" s="915"/>
      <c r="J45" s="877"/>
      <c r="K45" s="877"/>
      <c r="L45" s="867"/>
      <c r="R45" s="868"/>
    </row>
    <row r="46" spans="1:18" s="823" customFormat="1" ht="13.5" customHeight="1" thickTop="1" x14ac:dyDescent="0.2">
      <c r="A46" s="869"/>
      <c r="C46" s="916"/>
      <c r="E46" s="916"/>
      <c r="G46" s="916"/>
      <c r="H46" s="870"/>
      <c r="J46" s="917"/>
      <c r="K46" s="877"/>
      <c r="L46" s="867"/>
      <c r="R46" s="868"/>
    </row>
    <row r="47" spans="1:18" s="919" customFormat="1" ht="15" customHeight="1" x14ac:dyDescent="0.2">
      <c r="A47" s="918" t="s">
        <v>342</v>
      </c>
      <c r="B47" s="919" t="s">
        <v>343</v>
      </c>
      <c r="C47" s="920"/>
      <c r="E47" s="921" t="s">
        <v>344</v>
      </c>
      <c r="F47" s="921" t="s">
        <v>193</v>
      </c>
      <c r="G47" s="921"/>
      <c r="H47" s="895"/>
      <c r="J47" s="922"/>
      <c r="K47" s="923"/>
      <c r="L47" s="924"/>
      <c r="R47" s="925"/>
    </row>
    <row r="48" spans="1:18" s="823" customFormat="1" ht="15" customHeight="1" x14ac:dyDescent="0.2">
      <c r="A48" s="918"/>
      <c r="B48" s="919"/>
      <c r="C48" s="921"/>
      <c r="E48" s="921"/>
      <c r="F48" s="921" t="s">
        <v>193</v>
      </c>
      <c r="G48" s="921"/>
      <c r="H48" s="870"/>
      <c r="J48" s="877"/>
      <c r="K48" s="877"/>
      <c r="L48" s="867"/>
      <c r="R48" s="868"/>
    </row>
    <row r="49" spans="1:18" s="930" customFormat="1" ht="15" customHeight="1" x14ac:dyDescent="0.2">
      <c r="A49" s="926" t="s">
        <v>341</v>
      </c>
      <c r="B49" s="927"/>
      <c r="C49" s="928"/>
      <c r="D49" s="928"/>
      <c r="E49" s="928"/>
      <c r="F49" s="928"/>
      <c r="G49" s="928"/>
      <c r="H49" s="929"/>
      <c r="J49" s="931"/>
      <c r="K49" s="931"/>
      <c r="L49" s="932"/>
      <c r="R49" s="933"/>
    </row>
    <row r="50" spans="1:18" s="919" customFormat="1" ht="15" customHeight="1" thickBot="1" x14ac:dyDescent="0.25">
      <c r="A50" s="1062" t="s">
        <v>345</v>
      </c>
      <c r="B50" s="1063"/>
      <c r="C50" s="1063"/>
      <c r="D50" s="1063"/>
      <c r="E50" s="1063"/>
      <c r="F50" s="1063"/>
      <c r="G50" s="1063"/>
      <c r="H50" s="1064"/>
      <c r="J50" s="923"/>
      <c r="K50" s="923"/>
      <c r="L50" s="924"/>
      <c r="R50" s="925"/>
    </row>
  </sheetData>
  <mergeCells count="4">
    <mergeCell ref="A8:B8"/>
    <mergeCell ref="D8:F8"/>
    <mergeCell ref="G8:H8"/>
    <mergeCell ref="A50:H5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50"/>
  <sheetViews>
    <sheetView topLeftCell="A34" zoomScale="110" zoomScaleNormal="110" workbookViewId="0">
      <selection activeCell="A57" sqref="A57"/>
    </sheetView>
  </sheetViews>
  <sheetFormatPr defaultColWidth="9.140625" defaultRowHeight="15" customHeight="1" x14ac:dyDescent="0.2"/>
  <cols>
    <col min="1" max="1" width="40.42578125" style="823" customWidth="1"/>
    <col min="2" max="2" width="12" style="823" customWidth="1"/>
    <col min="3" max="3" width="12.7109375" style="823" customWidth="1"/>
    <col min="4" max="4" width="1.7109375" style="823" customWidth="1"/>
    <col min="5" max="5" width="10.85546875" style="823" customWidth="1"/>
    <col min="6" max="6" width="11.85546875" style="823" hidden="1" customWidth="1"/>
    <col min="7" max="7" width="13.42578125" style="823" customWidth="1"/>
    <col min="8" max="8" width="1.140625" style="823" customWidth="1"/>
    <col min="9" max="9" width="18.7109375" style="823" bestFit="1" customWidth="1"/>
    <col min="10" max="10" width="17.5703125" style="866" customWidth="1"/>
    <col min="11" max="11" width="14.42578125" style="866" customWidth="1"/>
    <col min="12" max="12" width="12.7109375" style="867" customWidth="1"/>
    <col min="13" max="13" width="15.5703125" style="823" customWidth="1"/>
    <col min="14" max="14" width="10" style="823" customWidth="1"/>
    <col min="15" max="15" width="16.140625" style="823" bestFit="1" customWidth="1"/>
    <col min="16" max="17" width="7.85546875" style="823" bestFit="1" customWidth="1"/>
    <col min="18" max="18" width="9.5703125" style="868" bestFit="1" customWidth="1"/>
    <col min="19" max="19" width="16.5703125" style="823" customWidth="1"/>
    <col min="20" max="20" width="12.28515625" style="823" customWidth="1"/>
    <col min="21" max="21" width="12.5703125" style="823" customWidth="1"/>
    <col min="22" max="22" width="9.140625" style="823"/>
    <col min="23" max="23" width="16.42578125" style="823" customWidth="1"/>
    <col min="24" max="24" width="17.5703125" style="823" customWidth="1"/>
    <col min="25" max="25" width="16" style="823" customWidth="1"/>
    <col min="26" max="26" width="15" style="823" customWidth="1"/>
    <col min="27" max="27" width="14.28515625" style="823" bestFit="1" customWidth="1"/>
    <col min="28" max="29" width="14.140625" style="823" customWidth="1"/>
    <col min="30" max="16384" width="9.140625" style="823"/>
  </cols>
  <sheetData>
    <row r="1" spans="1:19" ht="15" customHeight="1" thickBot="1" x14ac:dyDescent="0.25"/>
    <row r="2" spans="1:19" ht="15" customHeight="1" x14ac:dyDescent="0.2">
      <c r="A2" s="863"/>
      <c r="B2" s="864"/>
      <c r="C2" s="864"/>
      <c r="D2" s="864"/>
      <c r="E2" s="864"/>
      <c r="F2" s="864"/>
      <c r="G2" s="864"/>
      <c r="H2" s="865"/>
    </row>
    <row r="3" spans="1:19" ht="15" customHeight="1" x14ac:dyDescent="0.2">
      <c r="A3" s="869"/>
      <c r="H3" s="870"/>
    </row>
    <row r="4" spans="1:19" ht="15" customHeight="1" x14ac:dyDescent="0.2">
      <c r="A4" s="869"/>
      <c r="H4" s="870"/>
    </row>
    <row r="5" spans="1:19" ht="15" customHeight="1" x14ac:dyDescent="0.2">
      <c r="A5" s="871" t="s">
        <v>60</v>
      </c>
      <c r="H5" s="870"/>
    </row>
    <row r="6" spans="1:19" ht="15" customHeight="1" x14ac:dyDescent="0.2">
      <c r="A6" s="872" t="s">
        <v>353</v>
      </c>
      <c r="H6" s="870"/>
    </row>
    <row r="7" spans="1:19" ht="15" customHeight="1" x14ac:dyDescent="0.2">
      <c r="A7" s="873"/>
      <c r="H7" s="870"/>
    </row>
    <row r="8" spans="1:19" ht="15" customHeight="1" x14ac:dyDescent="0.2">
      <c r="A8" s="1056" t="s">
        <v>318</v>
      </c>
      <c r="B8" s="1057"/>
      <c r="C8" s="937" t="s">
        <v>6</v>
      </c>
      <c r="D8" s="1058" t="s">
        <v>47</v>
      </c>
      <c r="E8" s="1059"/>
      <c r="F8" s="1060"/>
      <c r="G8" s="1058" t="s">
        <v>13</v>
      </c>
      <c r="H8" s="1061"/>
    </row>
    <row r="9" spans="1:19" ht="15" customHeight="1" x14ac:dyDescent="0.2">
      <c r="A9" s="871" t="s">
        <v>149</v>
      </c>
      <c r="H9" s="870"/>
    </row>
    <row r="10" spans="1:19" ht="15" customHeight="1" x14ac:dyDescent="0.2">
      <c r="A10" s="869" t="s">
        <v>150</v>
      </c>
      <c r="B10" s="823" t="s">
        <v>338</v>
      </c>
      <c r="C10" s="821">
        <v>9.1422000000000008</v>
      </c>
      <c r="D10" s="874"/>
      <c r="E10" s="821">
        <v>9.1422000000000008</v>
      </c>
      <c r="F10" s="821"/>
      <c r="G10" s="821">
        <v>9.1422000000000008</v>
      </c>
      <c r="H10" s="875"/>
      <c r="I10" s="876"/>
      <c r="J10" s="877"/>
      <c r="K10" s="877"/>
      <c r="Q10" s="878"/>
      <c r="R10" s="879"/>
    </row>
    <row r="11" spans="1:19" ht="15" customHeight="1" x14ac:dyDescent="0.2">
      <c r="A11" s="869" t="s">
        <v>347</v>
      </c>
      <c r="B11" s="823" t="s">
        <v>338</v>
      </c>
      <c r="C11" s="821">
        <v>6.5199999999999994E-2</v>
      </c>
      <c r="D11" s="874"/>
      <c r="E11" s="821">
        <v>6.5199999999999994E-2</v>
      </c>
      <c r="F11" s="821"/>
      <c r="G11" s="821">
        <v>6.5199999999999994E-2</v>
      </c>
      <c r="H11" s="875"/>
      <c r="I11" s="876"/>
      <c r="J11" s="877"/>
      <c r="K11" s="877"/>
      <c r="Q11" s="821"/>
    </row>
    <row r="12" spans="1:19" ht="15" customHeight="1" x14ac:dyDescent="0.2">
      <c r="A12" s="869" t="s">
        <v>348</v>
      </c>
      <c r="B12" s="823" t="s">
        <v>338</v>
      </c>
      <c r="C12" s="821">
        <v>-3.2000000000000002E-3</v>
      </c>
      <c r="D12" s="874"/>
      <c r="E12" s="821">
        <v>-3.2000000000000002E-3</v>
      </c>
      <c r="F12" s="821"/>
      <c r="G12" s="821">
        <v>-3.2000000000000002E-3</v>
      </c>
      <c r="H12" s="875"/>
      <c r="I12" s="876"/>
      <c r="J12" s="877"/>
      <c r="K12" s="877"/>
      <c r="P12" s="821"/>
      <c r="Q12" s="821"/>
      <c r="S12" s="880"/>
    </row>
    <row r="13" spans="1:19" ht="15" customHeight="1" x14ac:dyDescent="0.2">
      <c r="A13" s="869" t="s">
        <v>350</v>
      </c>
      <c r="B13" s="823" t="s">
        <v>338</v>
      </c>
      <c r="C13" s="821">
        <v>0.27389999999999998</v>
      </c>
      <c r="D13" s="874"/>
      <c r="E13" s="821">
        <v>0.27389999999999998</v>
      </c>
      <c r="F13" s="821"/>
      <c r="G13" s="821">
        <v>0.27389999999999998</v>
      </c>
      <c r="H13" s="875"/>
      <c r="I13" s="876"/>
      <c r="J13" s="877"/>
      <c r="K13" s="877"/>
      <c r="Q13" s="821"/>
      <c r="R13" s="881"/>
      <c r="S13" s="881"/>
    </row>
    <row r="14" spans="1:19" ht="15" customHeight="1" x14ac:dyDescent="0.2">
      <c r="A14" s="869" t="s">
        <v>349</v>
      </c>
      <c r="B14" s="823" t="s">
        <v>338</v>
      </c>
      <c r="C14" s="821">
        <v>-1.4500000000000001E-2</v>
      </c>
      <c r="D14" s="874"/>
      <c r="E14" s="821">
        <v>-1.4500000000000001E-2</v>
      </c>
      <c r="F14" s="821"/>
      <c r="G14" s="821">
        <v>-1.4500000000000001E-2</v>
      </c>
      <c r="H14" s="875"/>
      <c r="I14" s="876"/>
      <c r="J14" s="877"/>
      <c r="K14" s="877"/>
      <c r="Q14" s="821"/>
      <c r="R14" s="881"/>
      <c r="S14" s="881"/>
    </row>
    <row r="15" spans="1:19" ht="15" customHeight="1" x14ac:dyDescent="0.2">
      <c r="A15" s="871" t="s">
        <v>156</v>
      </c>
      <c r="C15" s="822"/>
      <c r="D15" s="822"/>
      <c r="E15" s="822"/>
      <c r="F15" s="822"/>
      <c r="G15" s="822"/>
      <c r="H15" s="882"/>
      <c r="P15" s="883"/>
      <c r="Q15" s="884"/>
      <c r="R15" s="885"/>
    </row>
    <row r="16" spans="1:19" ht="15" customHeight="1" x14ac:dyDescent="0.2">
      <c r="A16" s="869" t="s">
        <v>157</v>
      </c>
      <c r="B16" s="823" t="s">
        <v>339</v>
      </c>
      <c r="C16" s="821"/>
      <c r="D16" s="821"/>
      <c r="E16" s="821"/>
      <c r="F16" s="821"/>
      <c r="G16" s="821">
        <v>145.0367</v>
      </c>
      <c r="H16" s="882"/>
      <c r="J16" s="877"/>
      <c r="K16" s="877"/>
    </row>
    <row r="17" spans="1:13" ht="15" customHeight="1" x14ac:dyDescent="0.2">
      <c r="A17" s="869" t="s">
        <v>159</v>
      </c>
      <c r="B17" s="823" t="s">
        <v>338</v>
      </c>
      <c r="C17" s="821">
        <v>0.83489999999999998</v>
      </c>
      <c r="D17" s="821"/>
      <c r="E17" s="821">
        <v>0.83489999999999998</v>
      </c>
      <c r="F17" s="821"/>
      <c r="G17" s="821"/>
      <c r="H17" s="882"/>
      <c r="J17" s="877"/>
      <c r="K17" s="877"/>
    </row>
    <row r="18" spans="1:13" ht="15" customHeight="1" x14ac:dyDescent="0.2">
      <c r="A18" s="871" t="s">
        <v>160</v>
      </c>
      <c r="B18" s="823" t="s">
        <v>338</v>
      </c>
      <c r="C18" s="821">
        <v>1.1364000000000001</v>
      </c>
      <c r="D18" s="821"/>
      <c r="E18" s="821">
        <v>1.1364000000000001</v>
      </c>
      <c r="F18" s="821"/>
      <c r="G18" s="821">
        <v>1.1364000000000001</v>
      </c>
      <c r="H18" s="882"/>
      <c r="J18" s="877"/>
      <c r="K18" s="877"/>
    </row>
    <row r="19" spans="1:13" ht="15" customHeight="1" x14ac:dyDescent="0.2">
      <c r="A19" s="871" t="s">
        <v>161</v>
      </c>
      <c r="C19" s="821"/>
      <c r="D19" s="821"/>
      <c r="E19" s="821"/>
      <c r="F19" s="821"/>
      <c r="G19" s="821"/>
      <c r="H19" s="875"/>
    </row>
    <row r="20" spans="1:13" ht="15" customHeight="1" x14ac:dyDescent="0.2">
      <c r="A20" s="869" t="s">
        <v>162</v>
      </c>
      <c r="B20" s="823" t="s">
        <v>339</v>
      </c>
      <c r="C20" s="821"/>
      <c r="D20" s="821"/>
      <c r="E20" s="821"/>
      <c r="F20" s="821"/>
      <c r="G20" s="824">
        <v>267.89999999999998</v>
      </c>
      <c r="H20" s="875"/>
      <c r="J20" s="877"/>
      <c r="K20" s="877"/>
    </row>
    <row r="21" spans="1:13" ht="15" customHeight="1" x14ac:dyDescent="0.2">
      <c r="A21" s="869" t="s">
        <v>163</v>
      </c>
      <c r="B21" s="823" t="s">
        <v>338</v>
      </c>
      <c r="C21" s="821">
        <v>0.84489999999999998</v>
      </c>
      <c r="D21" s="886"/>
      <c r="E21" s="887">
        <v>0.92589999999999995</v>
      </c>
      <c r="F21" s="821"/>
      <c r="G21" s="821"/>
      <c r="H21" s="875"/>
      <c r="J21" s="877"/>
      <c r="K21" s="877"/>
      <c r="M21" s="821"/>
    </row>
    <row r="22" spans="1:13" ht="15" customHeight="1" x14ac:dyDescent="0.2">
      <c r="A22" s="871" t="s">
        <v>164</v>
      </c>
      <c r="C22" s="821"/>
      <c r="D22" s="886"/>
      <c r="E22" s="821"/>
      <c r="F22" s="821"/>
      <c r="G22" s="821"/>
      <c r="H22" s="875"/>
    </row>
    <row r="23" spans="1:13" ht="15" customHeight="1" x14ac:dyDescent="0.2">
      <c r="A23" s="869" t="s">
        <v>334</v>
      </c>
      <c r="B23" s="823" t="s">
        <v>166</v>
      </c>
      <c r="C23" s="821"/>
      <c r="D23" s="886"/>
      <c r="E23" s="888">
        <v>40.15</v>
      </c>
      <c r="F23" s="824"/>
      <c r="G23" s="888">
        <v>40.15</v>
      </c>
      <c r="H23" s="875"/>
      <c r="J23" s="877"/>
      <c r="K23" s="877"/>
      <c r="M23" s="821"/>
    </row>
    <row r="24" spans="1:13" ht="15" customHeight="1" x14ac:dyDescent="0.2">
      <c r="A24" s="869" t="s">
        <v>167</v>
      </c>
      <c r="B24" s="823" t="s">
        <v>338</v>
      </c>
      <c r="C24" s="821">
        <v>0.7732</v>
      </c>
      <c r="D24" s="886"/>
      <c r="E24" s="821"/>
      <c r="F24" s="821"/>
      <c r="G24" s="821"/>
      <c r="H24" s="875"/>
      <c r="J24" s="877"/>
      <c r="K24" s="877"/>
    </row>
    <row r="25" spans="1:13" ht="15" customHeight="1" x14ac:dyDescent="0.2">
      <c r="A25" s="871" t="s">
        <v>168</v>
      </c>
      <c r="D25" s="886"/>
      <c r="E25" s="821"/>
      <c r="F25" s="821"/>
      <c r="G25" s="821"/>
      <c r="H25" s="875"/>
      <c r="I25" s="821"/>
    </row>
    <row r="26" spans="1:13" ht="15" customHeight="1" x14ac:dyDescent="0.2">
      <c r="A26" s="869" t="s">
        <v>221</v>
      </c>
      <c r="B26" s="823" t="s">
        <v>170</v>
      </c>
      <c r="C26" s="824">
        <v>5</v>
      </c>
      <c r="D26" s="886"/>
      <c r="E26" s="888">
        <v>28.72</v>
      </c>
      <c r="F26" s="824"/>
      <c r="G26" s="888">
        <v>28.72</v>
      </c>
      <c r="H26" s="875"/>
      <c r="J26" s="877"/>
      <c r="K26" s="877"/>
    </row>
    <row r="27" spans="1:13" ht="15" customHeight="1" x14ac:dyDescent="0.2">
      <c r="A27" s="869" t="s">
        <v>171</v>
      </c>
      <c r="B27" s="823" t="s">
        <v>338</v>
      </c>
      <c r="C27" s="821">
        <v>0.45689999999999997</v>
      </c>
      <c r="D27" s="821"/>
      <c r="E27" s="821"/>
      <c r="F27" s="821"/>
      <c r="G27" s="821"/>
      <c r="H27" s="875"/>
      <c r="J27" s="877"/>
      <c r="K27" s="877"/>
    </row>
    <row r="28" spans="1:13" ht="15" customHeight="1" x14ac:dyDescent="0.2">
      <c r="A28" s="889" t="s">
        <v>268</v>
      </c>
      <c r="B28" s="890" t="s">
        <v>338</v>
      </c>
      <c r="C28" s="825">
        <v>0.1023</v>
      </c>
      <c r="D28" s="891"/>
      <c r="E28" s="892">
        <v>0.1023</v>
      </c>
      <c r="F28" s="891"/>
      <c r="G28" s="892">
        <v>0.1023</v>
      </c>
      <c r="H28" s="882"/>
      <c r="J28" s="877"/>
      <c r="K28" s="877"/>
    </row>
    <row r="29" spans="1:13" ht="15" customHeight="1" x14ac:dyDescent="0.2">
      <c r="A29" s="893" t="s">
        <v>269</v>
      </c>
      <c r="B29" s="823" t="s">
        <v>338</v>
      </c>
      <c r="C29" s="826">
        <v>8.9999999999999998E-4</v>
      </c>
      <c r="D29" s="894"/>
      <c r="E29" s="826">
        <v>8.9999999999999998E-4</v>
      </c>
      <c r="F29" s="894"/>
      <c r="G29" s="826">
        <v>8.9999999999999998E-4</v>
      </c>
      <c r="H29" s="882"/>
      <c r="I29" s="883"/>
      <c r="J29" s="877"/>
      <c r="K29" s="877"/>
    </row>
    <row r="30" spans="1:13" ht="16.5" customHeight="1" x14ac:dyDescent="0.2">
      <c r="A30" s="871" t="s">
        <v>174</v>
      </c>
      <c r="C30" s="821"/>
      <c r="D30" s="821"/>
      <c r="E30" s="821"/>
      <c r="F30" s="821"/>
      <c r="G30" s="821"/>
      <c r="H30" s="875"/>
    </row>
    <row r="31" spans="1:13" ht="15" customHeight="1" x14ac:dyDescent="0.2">
      <c r="A31" s="869" t="s">
        <v>175</v>
      </c>
      <c r="B31" s="823" t="s">
        <v>338</v>
      </c>
      <c r="C31" s="821">
        <v>0.15440000000000001</v>
      </c>
      <c r="D31" s="821"/>
      <c r="E31" s="821">
        <v>0.15440000000000001</v>
      </c>
      <c r="F31" s="821"/>
      <c r="G31" s="821">
        <v>0.15440000000000001</v>
      </c>
      <c r="H31" s="895"/>
      <c r="J31" s="877"/>
      <c r="K31" s="877"/>
    </row>
    <row r="32" spans="1:13" ht="15" customHeight="1" x14ac:dyDescent="0.2">
      <c r="A32" s="869" t="s">
        <v>176</v>
      </c>
      <c r="B32" s="823" t="s">
        <v>338</v>
      </c>
      <c r="C32" s="821"/>
      <c r="D32" s="821"/>
      <c r="E32" s="821"/>
      <c r="F32" s="821"/>
      <c r="G32" s="887"/>
      <c r="H32" s="875"/>
      <c r="I32" s="821"/>
      <c r="J32" s="877"/>
      <c r="K32" s="877"/>
    </row>
    <row r="33" spans="1:18" ht="15" customHeight="1" x14ac:dyDescent="0.2">
      <c r="A33" s="869" t="s">
        <v>200</v>
      </c>
      <c r="B33" s="823" t="s">
        <v>338</v>
      </c>
      <c r="C33" s="821"/>
      <c r="D33" s="821"/>
      <c r="E33" s="821"/>
      <c r="F33" s="821"/>
      <c r="G33" s="887"/>
      <c r="H33" s="875"/>
      <c r="I33" s="821"/>
      <c r="J33" s="877"/>
      <c r="K33" s="877"/>
    </row>
    <row r="34" spans="1:18" ht="15" customHeight="1" x14ac:dyDescent="0.2">
      <c r="A34" s="869" t="s">
        <v>337</v>
      </c>
      <c r="B34" s="823" t="s">
        <v>338</v>
      </c>
      <c r="C34" s="821">
        <v>1.6999999999999999E-3</v>
      </c>
      <c r="D34" s="821"/>
      <c r="E34" s="821">
        <v>1.6999999999999999E-3</v>
      </c>
      <c r="F34" s="821"/>
      <c r="G34" s="887">
        <v>1.6999999999999999E-3</v>
      </c>
      <c r="H34" s="895"/>
      <c r="J34" s="877"/>
      <c r="K34" s="877"/>
      <c r="O34" s="896"/>
      <c r="P34" s="896"/>
      <c r="Q34" s="896"/>
    </row>
    <row r="35" spans="1:18" ht="15" customHeight="1" x14ac:dyDescent="0.2">
      <c r="A35" s="869" t="s">
        <v>340</v>
      </c>
      <c r="B35" s="823" t="s">
        <v>338</v>
      </c>
      <c r="C35" s="821">
        <v>4.2799999999999998E-2</v>
      </c>
      <c r="D35" s="821"/>
      <c r="E35" s="821">
        <v>4.2799999999999998E-2</v>
      </c>
      <c r="F35" s="821"/>
      <c r="G35" s="887">
        <v>4.2799999999999998E-2</v>
      </c>
      <c r="H35" s="895"/>
      <c r="I35" s="821"/>
      <c r="J35" s="877"/>
      <c r="K35" s="877"/>
    </row>
    <row r="36" spans="1:18" ht="15" customHeight="1" x14ac:dyDescent="0.2">
      <c r="A36" s="893" t="s">
        <v>335</v>
      </c>
      <c r="B36" s="823" t="s">
        <v>338</v>
      </c>
      <c r="C36" s="827">
        <v>9.8299999999999998E-2</v>
      </c>
      <c r="D36" s="891"/>
      <c r="E36" s="827">
        <v>9.8299999999999998E-2</v>
      </c>
      <c r="F36" s="891"/>
      <c r="G36" s="827">
        <v>9.8299999999999998E-2</v>
      </c>
      <c r="H36" s="895"/>
      <c r="J36" s="877"/>
      <c r="K36" s="877"/>
    </row>
    <row r="37" spans="1:18" ht="15" customHeight="1" x14ac:dyDescent="0.2">
      <c r="A37" s="871" t="s">
        <v>182</v>
      </c>
      <c r="C37" s="821"/>
      <c r="D37" s="821"/>
      <c r="E37" s="887"/>
      <c r="F37" s="821"/>
      <c r="G37" s="887"/>
      <c r="H37" s="895"/>
    </row>
    <row r="38" spans="1:18" ht="15" customHeight="1" x14ac:dyDescent="0.2">
      <c r="A38" s="869" t="s">
        <v>211</v>
      </c>
      <c r="B38" s="823" t="s">
        <v>338</v>
      </c>
      <c r="C38" s="821">
        <v>1.1071</v>
      </c>
      <c r="D38" s="821"/>
      <c r="E38" s="821">
        <v>1.1071</v>
      </c>
      <c r="F38" s="821"/>
      <c r="G38" s="887">
        <v>1.1071</v>
      </c>
      <c r="H38" s="895"/>
      <c r="J38" s="877"/>
      <c r="K38" s="877"/>
      <c r="M38" s="897"/>
    </row>
    <row r="39" spans="1:18" ht="15" customHeight="1" x14ac:dyDescent="0.2">
      <c r="A39" s="869" t="s">
        <v>212</v>
      </c>
      <c r="B39" s="823" t="s">
        <v>338</v>
      </c>
      <c r="C39" s="821">
        <v>9.6000000000000002E-2</v>
      </c>
      <c r="D39" s="821"/>
      <c r="E39" s="821">
        <v>9.6000000000000002E-2</v>
      </c>
      <c r="F39" s="821"/>
      <c r="G39" s="887">
        <v>9.6000000000000002E-2</v>
      </c>
      <c r="H39" s="895"/>
      <c r="J39" s="877"/>
      <c r="K39" s="877"/>
      <c r="M39" s="897"/>
    </row>
    <row r="40" spans="1:18" ht="15" customHeight="1" x14ac:dyDescent="0.2">
      <c r="A40" s="869" t="s">
        <v>213</v>
      </c>
      <c r="B40" s="823" t="s">
        <v>338</v>
      </c>
      <c r="C40" s="821">
        <v>0.13059999999999999</v>
      </c>
      <c r="D40" s="821"/>
      <c r="E40" s="821">
        <v>0.13059999999999999</v>
      </c>
      <c r="F40" s="821"/>
      <c r="G40" s="887">
        <v>0.13059999999999999</v>
      </c>
      <c r="H40" s="895"/>
      <c r="J40" s="877"/>
      <c r="K40" s="877"/>
      <c r="M40" s="897"/>
    </row>
    <row r="41" spans="1:18" ht="15" customHeight="1" x14ac:dyDescent="0.2">
      <c r="A41" s="869" t="s">
        <v>214</v>
      </c>
      <c r="B41" s="823" t="s">
        <v>338</v>
      </c>
      <c r="C41" s="821">
        <v>0.26140000000000002</v>
      </c>
      <c r="D41" s="821"/>
      <c r="E41" s="821">
        <v>0.1235</v>
      </c>
      <c r="F41" s="821"/>
      <c r="G41" s="887">
        <v>1.24E-2</v>
      </c>
      <c r="H41" s="895"/>
      <c r="J41" s="877"/>
      <c r="K41" s="877"/>
      <c r="L41" s="898"/>
      <c r="M41" s="897"/>
    </row>
    <row r="42" spans="1:18" ht="15" customHeight="1" x14ac:dyDescent="0.2">
      <c r="A42" s="899" t="s">
        <v>177</v>
      </c>
      <c r="B42" s="900" t="s">
        <v>338</v>
      </c>
      <c r="C42" s="828">
        <v>0.40039999999999998</v>
      </c>
      <c r="D42" s="828"/>
      <c r="E42" s="828">
        <v>0.40039999999999998</v>
      </c>
      <c r="F42" s="828"/>
      <c r="G42" s="901">
        <v>0.40039999999999998</v>
      </c>
      <c r="H42" s="902"/>
      <c r="J42" s="877"/>
      <c r="K42" s="877"/>
    </row>
    <row r="43" spans="1:18" ht="15" customHeight="1" thickBot="1" x14ac:dyDescent="0.25">
      <c r="A43" s="936" t="s">
        <v>178</v>
      </c>
      <c r="B43" s="903"/>
      <c r="C43" s="904">
        <f>9.1422+0.0652-0.0032+0.2739-0.0145+0.8349+1.1364+0.8449+0.7732+0.4569+0.1023+0.0009+0.1544+0.0017+0.0428+0.0983+1.1071+0.096+0.1306+0.2614+0.4004</f>
        <v>15.905799999999997</v>
      </c>
      <c r="D43" s="905"/>
      <c r="E43" s="904">
        <f>9.1422+0.0652-0.0032+0.2739-0.0145+0.8349+1.1364+0.9259+0.1023+0.0009+0.1544+0.0017+0.0428+0.0983+1.1071+0.096+0.1306+0.1235+0.4004</f>
        <v>14.6188</v>
      </c>
      <c r="F43" s="903"/>
      <c r="G43" s="904">
        <f>9.1422+0.0652-0.0032+0.2739-0.0145+1.1364+0.1023+0.0009+0.1544+0.0017+0.0428+0.0983+1.1071+0.096+0.1306+0.0124+0.4004</f>
        <v>12.7469</v>
      </c>
      <c r="H43" s="882"/>
      <c r="J43" s="906"/>
      <c r="K43" s="906"/>
      <c r="L43" s="904"/>
    </row>
    <row r="44" spans="1:18" ht="15" customHeight="1" thickTop="1" x14ac:dyDescent="0.2">
      <c r="A44" s="907" t="s">
        <v>179</v>
      </c>
      <c r="B44" s="908" t="s">
        <v>166</v>
      </c>
      <c r="C44" s="909">
        <f>C26</f>
        <v>5</v>
      </c>
      <c r="D44" s="909"/>
      <c r="E44" s="909">
        <f>E23+E26</f>
        <v>68.87</v>
      </c>
      <c r="F44" s="909"/>
      <c r="G44" s="909">
        <f>G23+G26</f>
        <v>68.87</v>
      </c>
      <c r="H44" s="910"/>
      <c r="J44" s="877"/>
      <c r="K44" s="877"/>
    </row>
    <row r="45" spans="1:18" ht="15" customHeight="1" thickBot="1" x14ac:dyDescent="0.25">
      <c r="A45" s="911" t="s">
        <v>346</v>
      </c>
      <c r="B45" s="912" t="s">
        <v>339</v>
      </c>
      <c r="C45" s="913"/>
      <c r="D45" s="913"/>
      <c r="E45" s="913"/>
      <c r="F45" s="913"/>
      <c r="G45" s="914">
        <f>G20</f>
        <v>267.89999999999998</v>
      </c>
      <c r="H45" s="915"/>
      <c r="J45" s="877"/>
      <c r="K45" s="877"/>
    </row>
    <row r="46" spans="1:18" ht="13.5" customHeight="1" thickTop="1" x14ac:dyDescent="0.2">
      <c r="A46" s="869"/>
      <c r="C46" s="916"/>
      <c r="E46" s="916"/>
      <c r="G46" s="916"/>
      <c r="H46" s="870"/>
      <c r="J46" s="917"/>
      <c r="K46" s="877"/>
    </row>
    <row r="47" spans="1:18" s="919" customFormat="1" ht="15" customHeight="1" x14ac:dyDescent="0.2">
      <c r="A47" s="918" t="s">
        <v>342</v>
      </c>
      <c r="B47" s="919" t="s">
        <v>354</v>
      </c>
      <c r="C47" s="921" t="s">
        <v>355</v>
      </c>
      <c r="F47" s="921" t="s">
        <v>193</v>
      </c>
      <c r="G47" s="921"/>
      <c r="H47" s="895"/>
      <c r="J47" s="922"/>
      <c r="K47" s="923"/>
      <c r="L47" s="924"/>
      <c r="R47" s="925"/>
    </row>
    <row r="48" spans="1:18" ht="15" customHeight="1" x14ac:dyDescent="0.2">
      <c r="A48" s="918"/>
      <c r="B48" s="919"/>
      <c r="C48" s="921"/>
      <c r="E48" s="921"/>
      <c r="F48" s="921" t="s">
        <v>193</v>
      </c>
      <c r="G48" s="921"/>
      <c r="H48" s="870"/>
      <c r="J48" s="877"/>
      <c r="K48" s="877"/>
    </row>
    <row r="49" spans="1:18" s="930" customFormat="1" ht="15" customHeight="1" x14ac:dyDescent="0.2">
      <c r="A49" s="926" t="s">
        <v>356</v>
      </c>
      <c r="B49" s="927"/>
      <c r="C49" s="928"/>
      <c r="D49" s="928"/>
      <c r="E49" s="928"/>
      <c r="F49" s="928"/>
      <c r="G49" s="928"/>
      <c r="H49" s="929"/>
      <c r="J49" s="931"/>
      <c r="K49" s="931"/>
      <c r="L49" s="932"/>
      <c r="R49" s="933"/>
    </row>
    <row r="50" spans="1:18" s="919" customFormat="1" ht="15" customHeight="1" thickBot="1" x14ac:dyDescent="0.25">
      <c r="A50" s="1065" t="s">
        <v>357</v>
      </c>
      <c r="B50" s="1066"/>
      <c r="C50" s="1066"/>
      <c r="D50" s="1066"/>
      <c r="E50" s="1066"/>
      <c r="F50" s="1066"/>
      <c r="G50" s="1066"/>
      <c r="H50" s="1067"/>
      <c r="J50" s="923"/>
      <c r="K50" s="923"/>
      <c r="L50" s="924"/>
      <c r="R50" s="925"/>
    </row>
  </sheetData>
  <mergeCells count="4">
    <mergeCell ref="A8:B8"/>
    <mergeCell ref="D8:F8"/>
    <mergeCell ref="G8:H8"/>
    <mergeCell ref="A50:H5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50"/>
  <sheetViews>
    <sheetView topLeftCell="A37" zoomScale="110" zoomScaleNormal="110" workbookViewId="0">
      <selection activeCell="B56" sqref="B56"/>
    </sheetView>
  </sheetViews>
  <sheetFormatPr defaultColWidth="9.140625" defaultRowHeight="15" customHeight="1" x14ac:dyDescent="0.2"/>
  <cols>
    <col min="1" max="1" width="43.28515625" style="823" customWidth="1"/>
    <col min="2" max="2" width="12" style="823" customWidth="1"/>
    <col min="3" max="3" width="11.85546875" style="823" customWidth="1"/>
    <col min="4" max="4" width="1.7109375" style="823" customWidth="1"/>
    <col min="5" max="5" width="11" style="823" customWidth="1"/>
    <col min="6" max="6" width="11.85546875" style="823" hidden="1" customWidth="1"/>
    <col min="7" max="7" width="12.28515625" style="823" customWidth="1"/>
    <col min="8" max="8" width="0.42578125" style="823" customWidth="1"/>
    <col min="9" max="9" width="18.7109375" style="823" bestFit="1" customWidth="1"/>
    <col min="10" max="10" width="17.5703125" style="866" customWidth="1"/>
    <col min="11" max="11" width="14.42578125" style="866" customWidth="1"/>
    <col min="12" max="12" width="12.7109375" style="867" customWidth="1"/>
    <col min="13" max="13" width="15.5703125" style="823" customWidth="1"/>
    <col min="14" max="14" width="10" style="823" customWidth="1"/>
    <col min="15" max="15" width="16.140625" style="823" bestFit="1" customWidth="1"/>
    <col min="16" max="17" width="7.85546875" style="823" bestFit="1" customWidth="1"/>
    <col min="18" max="18" width="9.5703125" style="868" bestFit="1" customWidth="1"/>
    <col min="19" max="19" width="16.5703125" style="823" customWidth="1"/>
    <col min="20" max="20" width="12.28515625" style="823" customWidth="1"/>
    <col min="21" max="21" width="12.5703125" style="823" customWidth="1"/>
    <col min="22" max="22" width="9.140625" style="823"/>
    <col min="23" max="23" width="16.42578125" style="823" customWidth="1"/>
    <col min="24" max="24" width="17.5703125" style="823" customWidth="1"/>
    <col min="25" max="25" width="16" style="823" customWidth="1"/>
    <col min="26" max="26" width="15" style="823" customWidth="1"/>
    <col min="27" max="27" width="14.28515625" style="823" bestFit="1" customWidth="1"/>
    <col min="28" max="29" width="14.140625" style="823" customWidth="1"/>
    <col min="30" max="16384" width="9.140625" style="823"/>
  </cols>
  <sheetData>
    <row r="1" spans="1:19" ht="15" customHeight="1" thickBot="1" x14ac:dyDescent="0.25"/>
    <row r="2" spans="1:19" ht="15" customHeight="1" x14ac:dyDescent="0.2">
      <c r="A2" s="863"/>
      <c r="B2" s="864"/>
      <c r="C2" s="864"/>
      <c r="D2" s="864"/>
      <c r="E2" s="864"/>
      <c r="F2" s="864"/>
      <c r="G2" s="864"/>
      <c r="H2" s="865"/>
    </row>
    <row r="3" spans="1:19" ht="15" customHeight="1" x14ac:dyDescent="0.2">
      <c r="A3" s="869"/>
      <c r="H3" s="870"/>
    </row>
    <row r="4" spans="1:19" ht="15" customHeight="1" x14ac:dyDescent="0.2">
      <c r="A4" s="869"/>
      <c r="H4" s="870"/>
    </row>
    <row r="5" spans="1:19" ht="15" customHeight="1" x14ac:dyDescent="0.2">
      <c r="A5" s="871" t="s">
        <v>60</v>
      </c>
      <c r="H5" s="870"/>
    </row>
    <row r="6" spans="1:19" ht="15" customHeight="1" x14ac:dyDescent="0.2">
      <c r="A6" s="872" t="s">
        <v>358</v>
      </c>
      <c r="H6" s="870"/>
    </row>
    <row r="7" spans="1:19" ht="15" hidden="1" customHeight="1" x14ac:dyDescent="0.2">
      <c r="A7" s="873"/>
      <c r="H7" s="870"/>
    </row>
    <row r="8" spans="1:19" ht="15" customHeight="1" x14ac:dyDescent="0.2">
      <c r="A8" s="1056" t="s">
        <v>318</v>
      </c>
      <c r="B8" s="1057"/>
      <c r="C8" s="937" t="s">
        <v>6</v>
      </c>
      <c r="D8" s="1058" t="s">
        <v>47</v>
      </c>
      <c r="E8" s="1059"/>
      <c r="F8" s="1060"/>
      <c r="G8" s="1058" t="s">
        <v>13</v>
      </c>
      <c r="H8" s="1061"/>
    </row>
    <row r="9" spans="1:19" ht="15" customHeight="1" x14ac:dyDescent="0.2">
      <c r="A9" s="871" t="s">
        <v>149</v>
      </c>
      <c r="H9" s="870"/>
    </row>
    <row r="10" spans="1:19" ht="15" customHeight="1" x14ac:dyDescent="0.2">
      <c r="A10" s="869" t="s">
        <v>150</v>
      </c>
      <c r="B10" s="823" t="s">
        <v>338</v>
      </c>
      <c r="C10" s="821">
        <v>9.19</v>
      </c>
      <c r="D10" s="874"/>
      <c r="E10" s="821">
        <v>9.19</v>
      </c>
      <c r="F10" s="821"/>
      <c r="G10" s="821">
        <v>9.19</v>
      </c>
      <c r="H10" s="875"/>
      <c r="I10" s="876"/>
      <c r="J10" s="877"/>
      <c r="K10" s="877"/>
      <c r="Q10" s="878"/>
      <c r="R10" s="879"/>
    </row>
    <row r="11" spans="1:19" ht="15" customHeight="1" x14ac:dyDescent="0.2">
      <c r="A11" s="869" t="s">
        <v>347</v>
      </c>
      <c r="B11" s="823" t="s">
        <v>338</v>
      </c>
      <c r="C11" s="821">
        <v>6.0299999999999999E-2</v>
      </c>
      <c r="D11" s="874"/>
      <c r="E11" s="821">
        <v>6.0299999999999999E-2</v>
      </c>
      <c r="F11" s="821"/>
      <c r="G11" s="821">
        <v>6.0299999999999999E-2</v>
      </c>
      <c r="H11" s="875"/>
      <c r="I11" s="876"/>
      <c r="J11" s="877"/>
      <c r="K11" s="877"/>
      <c r="Q11" s="821"/>
    </row>
    <row r="12" spans="1:19" ht="15" customHeight="1" x14ac:dyDescent="0.2">
      <c r="A12" s="869" t="s">
        <v>348</v>
      </c>
      <c r="B12" s="823" t="s">
        <v>338</v>
      </c>
      <c r="C12" s="821">
        <v>-2.8999999999999998E-3</v>
      </c>
      <c r="D12" s="874"/>
      <c r="E12" s="821">
        <v>-2.8999999999999998E-3</v>
      </c>
      <c r="F12" s="821"/>
      <c r="G12" s="821">
        <v>-2.8999999999999998E-3</v>
      </c>
      <c r="H12" s="875"/>
      <c r="I12" s="876"/>
      <c r="J12" s="877"/>
      <c r="K12" s="877"/>
      <c r="P12" s="821"/>
      <c r="Q12" s="821"/>
      <c r="S12" s="880"/>
    </row>
    <row r="13" spans="1:19" ht="15" customHeight="1" x14ac:dyDescent="0.2">
      <c r="A13" s="869" t="s">
        <v>350</v>
      </c>
      <c r="B13" s="823" t="s">
        <v>338</v>
      </c>
      <c r="C13" s="821">
        <v>0.25340000000000001</v>
      </c>
      <c r="D13" s="874"/>
      <c r="E13" s="821">
        <v>0.25340000000000001</v>
      </c>
      <c r="F13" s="821"/>
      <c r="G13" s="821">
        <v>0.25340000000000001</v>
      </c>
      <c r="H13" s="875"/>
      <c r="I13" s="876"/>
      <c r="J13" s="877"/>
      <c r="K13" s="877"/>
      <c r="Q13" s="821"/>
      <c r="R13" s="881"/>
      <c r="S13" s="881"/>
    </row>
    <row r="14" spans="1:19" ht="15" customHeight="1" x14ac:dyDescent="0.2">
      <c r="A14" s="869" t="s">
        <v>349</v>
      </c>
      <c r="B14" s="823" t="s">
        <v>338</v>
      </c>
      <c r="C14" s="821">
        <v>-1.34E-2</v>
      </c>
      <c r="D14" s="874"/>
      <c r="E14" s="821">
        <v>-1.34E-2</v>
      </c>
      <c r="F14" s="821"/>
      <c r="G14" s="821">
        <v>-1.34E-2</v>
      </c>
      <c r="H14" s="875"/>
      <c r="I14" s="876"/>
      <c r="J14" s="877"/>
      <c r="K14" s="877"/>
      <c r="Q14" s="821"/>
      <c r="R14" s="881"/>
      <c r="S14" s="881"/>
    </row>
    <row r="15" spans="1:19" ht="15" customHeight="1" x14ac:dyDescent="0.2">
      <c r="A15" s="871" t="s">
        <v>156</v>
      </c>
      <c r="C15" s="822"/>
      <c r="D15" s="822"/>
      <c r="E15" s="822"/>
      <c r="F15" s="822"/>
      <c r="G15" s="822"/>
      <c r="H15" s="882"/>
      <c r="P15" s="883"/>
      <c r="Q15" s="884"/>
      <c r="R15" s="885"/>
    </row>
    <row r="16" spans="1:19" ht="15" customHeight="1" x14ac:dyDescent="0.2">
      <c r="A16" s="869" t="s">
        <v>157</v>
      </c>
      <c r="B16" s="823" t="s">
        <v>339</v>
      </c>
      <c r="C16" s="821"/>
      <c r="D16" s="821"/>
      <c r="E16" s="821"/>
      <c r="F16" s="821"/>
      <c r="G16" s="821">
        <v>95.678600000000003</v>
      </c>
      <c r="H16" s="882"/>
      <c r="J16" s="877"/>
      <c r="K16" s="877"/>
    </row>
    <row r="17" spans="1:13" ht="15" customHeight="1" x14ac:dyDescent="0.2">
      <c r="A17" s="869" t="s">
        <v>159</v>
      </c>
      <c r="B17" s="823" t="s">
        <v>338</v>
      </c>
      <c r="C17" s="821">
        <v>0.76849999999999996</v>
      </c>
      <c r="D17" s="821"/>
      <c r="E17" s="821">
        <v>0.76849999999999996</v>
      </c>
      <c r="F17" s="821"/>
      <c r="G17" s="821"/>
      <c r="H17" s="882"/>
      <c r="J17" s="877"/>
      <c r="K17" s="877"/>
    </row>
    <row r="18" spans="1:13" ht="15" customHeight="1" x14ac:dyDescent="0.2">
      <c r="A18" s="871" t="s">
        <v>160</v>
      </c>
      <c r="B18" s="823" t="s">
        <v>338</v>
      </c>
      <c r="C18" s="821">
        <v>1.1223000000000001</v>
      </c>
      <c r="D18" s="821"/>
      <c r="E18" s="821">
        <v>1.1223000000000001</v>
      </c>
      <c r="F18" s="821"/>
      <c r="G18" s="821">
        <v>1.1223000000000001</v>
      </c>
      <c r="H18" s="882"/>
      <c r="J18" s="877"/>
      <c r="K18" s="877"/>
    </row>
    <row r="19" spans="1:13" ht="15" customHeight="1" x14ac:dyDescent="0.2">
      <c r="A19" s="871" t="s">
        <v>161</v>
      </c>
      <c r="C19" s="821"/>
      <c r="D19" s="821"/>
      <c r="E19" s="821"/>
      <c r="F19" s="821"/>
      <c r="G19" s="821"/>
      <c r="H19" s="875"/>
    </row>
    <row r="20" spans="1:13" ht="15" customHeight="1" x14ac:dyDescent="0.2">
      <c r="A20" s="869" t="s">
        <v>162</v>
      </c>
      <c r="B20" s="823" t="s">
        <v>339</v>
      </c>
      <c r="C20" s="821"/>
      <c r="D20" s="821"/>
      <c r="E20" s="821"/>
      <c r="F20" s="821"/>
      <c r="G20" s="824">
        <v>267.89999999999998</v>
      </c>
      <c r="H20" s="875"/>
      <c r="J20" s="877"/>
      <c r="K20" s="877"/>
    </row>
    <row r="21" spans="1:13" ht="15" customHeight="1" x14ac:dyDescent="0.2">
      <c r="A21" s="869" t="s">
        <v>163</v>
      </c>
      <c r="B21" s="823" t="s">
        <v>338</v>
      </c>
      <c r="C21" s="821">
        <v>0.84489999999999998</v>
      </c>
      <c r="D21" s="886"/>
      <c r="E21" s="887">
        <v>0.92589999999999995</v>
      </c>
      <c r="F21" s="821"/>
      <c r="G21" s="821"/>
      <c r="H21" s="875"/>
      <c r="J21" s="877"/>
      <c r="K21" s="877"/>
      <c r="M21" s="821"/>
    </row>
    <row r="22" spans="1:13" ht="15" customHeight="1" x14ac:dyDescent="0.2">
      <c r="A22" s="871" t="s">
        <v>164</v>
      </c>
      <c r="C22" s="821"/>
      <c r="D22" s="886"/>
      <c r="E22" s="821"/>
      <c r="F22" s="821"/>
      <c r="G22" s="821"/>
      <c r="H22" s="875"/>
    </row>
    <row r="23" spans="1:13" ht="15" customHeight="1" x14ac:dyDescent="0.2">
      <c r="A23" s="869" t="s">
        <v>334</v>
      </c>
      <c r="B23" s="823" t="s">
        <v>166</v>
      </c>
      <c r="C23" s="821"/>
      <c r="D23" s="886"/>
      <c r="E23" s="888">
        <v>40.15</v>
      </c>
      <c r="F23" s="824"/>
      <c r="G23" s="888">
        <v>40.15</v>
      </c>
      <c r="H23" s="875"/>
      <c r="J23" s="877"/>
      <c r="K23" s="877"/>
      <c r="M23" s="821"/>
    </row>
    <row r="24" spans="1:13" ht="15" customHeight="1" x14ac:dyDescent="0.2">
      <c r="A24" s="869" t="s">
        <v>167</v>
      </c>
      <c r="B24" s="823" t="s">
        <v>338</v>
      </c>
      <c r="C24" s="821">
        <v>0.7732</v>
      </c>
      <c r="D24" s="886"/>
      <c r="E24" s="821"/>
      <c r="F24" s="821"/>
      <c r="G24" s="821"/>
      <c r="H24" s="875"/>
      <c r="J24" s="877"/>
      <c r="K24" s="877"/>
    </row>
    <row r="25" spans="1:13" ht="15" customHeight="1" x14ac:dyDescent="0.2">
      <c r="A25" s="871" t="s">
        <v>168</v>
      </c>
      <c r="D25" s="886"/>
      <c r="E25" s="821"/>
      <c r="F25" s="821"/>
      <c r="G25" s="821"/>
      <c r="H25" s="875"/>
      <c r="I25" s="821"/>
    </row>
    <row r="26" spans="1:13" ht="15" customHeight="1" x14ac:dyDescent="0.2">
      <c r="A26" s="869" t="s">
        <v>221</v>
      </c>
      <c r="B26" s="823" t="s">
        <v>170</v>
      </c>
      <c r="C26" s="824">
        <v>5</v>
      </c>
      <c r="D26" s="886"/>
      <c r="E26" s="888">
        <v>28.72</v>
      </c>
      <c r="F26" s="824"/>
      <c r="G26" s="888">
        <v>28.72</v>
      </c>
      <c r="H26" s="875"/>
      <c r="J26" s="877"/>
      <c r="K26" s="877"/>
    </row>
    <row r="27" spans="1:13" ht="15" customHeight="1" x14ac:dyDescent="0.2">
      <c r="A27" s="869" t="s">
        <v>171</v>
      </c>
      <c r="B27" s="823" t="s">
        <v>338</v>
      </c>
      <c r="C27" s="821">
        <v>0.45689999999999997</v>
      </c>
      <c r="D27" s="821"/>
      <c r="E27" s="821"/>
      <c r="F27" s="821"/>
      <c r="G27" s="821"/>
      <c r="H27" s="875"/>
      <c r="J27" s="877"/>
      <c r="K27" s="877"/>
    </row>
    <row r="28" spans="1:13" ht="15" customHeight="1" x14ac:dyDescent="0.2">
      <c r="A28" s="889" t="s">
        <v>268</v>
      </c>
      <c r="B28" s="890" t="s">
        <v>338</v>
      </c>
      <c r="C28" s="825">
        <v>9.98E-2</v>
      </c>
      <c r="D28" s="891"/>
      <c r="E28" s="892">
        <v>9.98E-2</v>
      </c>
      <c r="F28" s="891">
        <v>9.98E-2</v>
      </c>
      <c r="G28" s="892">
        <v>9.98E-2</v>
      </c>
      <c r="H28" s="882"/>
      <c r="J28" s="877"/>
      <c r="K28" s="877"/>
    </row>
    <row r="29" spans="1:13" ht="15" customHeight="1" x14ac:dyDescent="0.2">
      <c r="A29" s="893" t="s">
        <v>269</v>
      </c>
      <c r="B29" s="823" t="s">
        <v>338</v>
      </c>
      <c r="C29" s="826">
        <v>8.9999999999999998E-4</v>
      </c>
      <c r="D29" s="894"/>
      <c r="E29" s="826">
        <v>8.9999999999999998E-4</v>
      </c>
      <c r="F29" s="894">
        <v>8.9999999999999998E-4</v>
      </c>
      <c r="G29" s="826">
        <v>8.9999999999999998E-4</v>
      </c>
      <c r="H29" s="882"/>
      <c r="I29" s="883"/>
      <c r="J29" s="877"/>
      <c r="K29" s="877"/>
    </row>
    <row r="30" spans="1:13" ht="16.5" customHeight="1" x14ac:dyDescent="0.2">
      <c r="A30" s="871" t="s">
        <v>174</v>
      </c>
      <c r="C30" s="821"/>
      <c r="D30" s="821"/>
      <c r="E30" s="821"/>
      <c r="F30" s="821"/>
      <c r="G30" s="821"/>
      <c r="H30" s="875"/>
    </row>
    <row r="31" spans="1:13" ht="15" customHeight="1" x14ac:dyDescent="0.2">
      <c r="A31" s="869" t="s">
        <v>175</v>
      </c>
      <c r="B31" s="823" t="s">
        <v>338</v>
      </c>
      <c r="C31" s="821">
        <v>0.15440000000000001</v>
      </c>
      <c r="D31" s="821"/>
      <c r="E31" s="821">
        <v>0.15440000000000001</v>
      </c>
      <c r="F31" s="821"/>
      <c r="G31" s="821">
        <v>0.15440000000000001</v>
      </c>
      <c r="H31" s="895"/>
      <c r="J31" s="877"/>
      <c r="K31" s="877"/>
    </row>
    <row r="32" spans="1:13" ht="15" customHeight="1" x14ac:dyDescent="0.2">
      <c r="A32" s="869" t="s">
        <v>176</v>
      </c>
      <c r="B32" s="823" t="s">
        <v>338</v>
      </c>
      <c r="C32" s="821"/>
      <c r="D32" s="821"/>
      <c r="E32" s="821"/>
      <c r="F32" s="821"/>
      <c r="G32" s="887"/>
      <c r="H32" s="875"/>
      <c r="I32" s="821"/>
      <c r="J32" s="877"/>
      <c r="K32" s="877"/>
    </row>
    <row r="33" spans="1:18" ht="15" customHeight="1" x14ac:dyDescent="0.2">
      <c r="A33" s="869" t="s">
        <v>200</v>
      </c>
      <c r="B33" s="823" t="s">
        <v>338</v>
      </c>
      <c r="C33" s="821"/>
      <c r="D33" s="821"/>
      <c r="E33" s="821"/>
      <c r="F33" s="821"/>
      <c r="G33" s="887"/>
      <c r="H33" s="875"/>
      <c r="I33" s="821"/>
      <c r="J33" s="877"/>
      <c r="K33" s="877"/>
    </row>
    <row r="34" spans="1:18" ht="15" customHeight="1" x14ac:dyDescent="0.2">
      <c r="A34" s="869" t="s">
        <v>337</v>
      </c>
      <c r="B34" s="823" t="s">
        <v>338</v>
      </c>
      <c r="C34" s="821">
        <v>1.6999999999999999E-3</v>
      </c>
      <c r="D34" s="821"/>
      <c r="E34" s="821">
        <v>1.6999999999999999E-3</v>
      </c>
      <c r="F34" s="821"/>
      <c r="G34" s="887">
        <v>1.6999999999999999E-3</v>
      </c>
      <c r="H34" s="895"/>
      <c r="J34" s="877"/>
      <c r="K34" s="877"/>
      <c r="O34" s="896"/>
      <c r="P34" s="896"/>
      <c r="Q34" s="896"/>
    </row>
    <row r="35" spans="1:18" ht="15" customHeight="1" x14ac:dyDescent="0.2">
      <c r="A35" s="869" t="s">
        <v>340</v>
      </c>
      <c r="B35" s="823" t="s">
        <v>338</v>
      </c>
      <c r="C35" s="821">
        <v>4.2799999999999998E-2</v>
      </c>
      <c r="D35" s="821"/>
      <c r="E35" s="821">
        <v>4.2799999999999998E-2</v>
      </c>
      <c r="F35" s="821"/>
      <c r="G35" s="887">
        <v>4.2799999999999998E-2</v>
      </c>
      <c r="H35" s="895"/>
      <c r="I35" s="821"/>
      <c r="J35" s="877"/>
      <c r="K35" s="877"/>
    </row>
    <row r="36" spans="1:18" ht="15" customHeight="1" x14ac:dyDescent="0.2">
      <c r="A36" s="893" t="s">
        <v>335</v>
      </c>
      <c r="B36" s="823" t="s">
        <v>338</v>
      </c>
      <c r="C36" s="827">
        <v>9.8299999999999998E-2</v>
      </c>
      <c r="D36" s="891"/>
      <c r="E36" s="827">
        <v>9.8299999999999998E-2</v>
      </c>
      <c r="F36" s="891"/>
      <c r="G36" s="827">
        <v>9.8299999999999998E-2</v>
      </c>
      <c r="H36" s="895"/>
      <c r="J36" s="877"/>
      <c r="K36" s="877"/>
    </row>
    <row r="37" spans="1:18" ht="15" customHeight="1" x14ac:dyDescent="0.2">
      <c r="A37" s="871" t="s">
        <v>182</v>
      </c>
      <c r="C37" s="821"/>
      <c r="D37" s="821"/>
      <c r="E37" s="887"/>
      <c r="F37" s="821"/>
      <c r="G37" s="887"/>
      <c r="H37" s="895"/>
    </row>
    <row r="38" spans="1:18" ht="15" customHeight="1" x14ac:dyDescent="0.2">
      <c r="A38" s="869" t="s">
        <v>211</v>
      </c>
      <c r="B38" s="823" t="s">
        <v>338</v>
      </c>
      <c r="C38" s="821">
        <v>1.0767</v>
      </c>
      <c r="D38" s="821"/>
      <c r="E38" s="821">
        <v>1.0767</v>
      </c>
      <c r="F38" s="821"/>
      <c r="G38" s="887">
        <v>1.0767</v>
      </c>
      <c r="H38" s="895"/>
      <c r="J38" s="877"/>
      <c r="K38" s="877"/>
      <c r="M38" s="897"/>
    </row>
    <row r="39" spans="1:18" ht="15" customHeight="1" x14ac:dyDescent="0.2">
      <c r="A39" s="869" t="s">
        <v>212</v>
      </c>
      <c r="B39" s="823" t="s">
        <v>338</v>
      </c>
      <c r="C39" s="821">
        <v>8.9800000000000005E-2</v>
      </c>
      <c r="D39" s="821"/>
      <c r="E39" s="821">
        <v>8.9800000000000005E-2</v>
      </c>
      <c r="F39" s="821"/>
      <c r="G39" s="887">
        <v>8.9800000000000005E-2</v>
      </c>
      <c r="H39" s="895"/>
      <c r="J39" s="877"/>
      <c r="K39" s="877"/>
      <c r="M39" s="897"/>
    </row>
    <row r="40" spans="1:18" ht="15" customHeight="1" x14ac:dyDescent="0.2">
      <c r="A40" s="869" t="s">
        <v>213</v>
      </c>
      <c r="B40" s="823" t="s">
        <v>338</v>
      </c>
      <c r="C40" s="821">
        <v>0.12520000000000001</v>
      </c>
      <c r="D40" s="821"/>
      <c r="E40" s="821">
        <v>0.12520000000000001</v>
      </c>
      <c r="F40" s="821"/>
      <c r="G40" s="887">
        <v>0.12520000000000001</v>
      </c>
      <c r="H40" s="895"/>
      <c r="J40" s="877"/>
      <c r="K40" s="877"/>
      <c r="M40" s="897"/>
    </row>
    <row r="41" spans="1:18" ht="15" customHeight="1" x14ac:dyDescent="0.2">
      <c r="A41" s="869" t="s">
        <v>214</v>
      </c>
      <c r="B41" s="823" t="s">
        <v>338</v>
      </c>
      <c r="C41" s="821">
        <v>0.2611</v>
      </c>
      <c r="D41" s="821"/>
      <c r="E41" s="821">
        <v>0.1232</v>
      </c>
      <c r="F41" s="821"/>
      <c r="G41" s="887">
        <v>1.21E-2</v>
      </c>
      <c r="H41" s="895"/>
      <c r="J41" s="877"/>
      <c r="K41" s="877"/>
      <c r="L41" s="898"/>
      <c r="M41" s="897"/>
    </row>
    <row r="42" spans="1:18" ht="15" customHeight="1" x14ac:dyDescent="0.2">
      <c r="A42" s="899" t="s">
        <v>177</v>
      </c>
      <c r="B42" s="900" t="s">
        <v>338</v>
      </c>
      <c r="C42" s="828">
        <v>0.40039999999999998</v>
      </c>
      <c r="D42" s="828"/>
      <c r="E42" s="828">
        <v>0.40039999999999998</v>
      </c>
      <c r="F42" s="828"/>
      <c r="G42" s="901">
        <v>0.40039999999999998</v>
      </c>
      <c r="H42" s="902"/>
      <c r="J42" s="877"/>
      <c r="K42" s="877"/>
    </row>
    <row r="43" spans="1:18" ht="15" customHeight="1" thickBot="1" x14ac:dyDescent="0.25">
      <c r="A43" s="936" t="s">
        <v>178</v>
      </c>
      <c r="B43" s="903"/>
      <c r="C43" s="904">
        <f>9.19+0.0603-0.0029+0.2534-0.0134+0.7685+1.1223+0.8449+0.7732+0.4569+0.0998+0.0009+0.1544+0.0017+0.0428+0.0983+1.0767+0.0898+0.1252+0.2611+0.4004</f>
        <v>15.804299999999994</v>
      </c>
      <c r="D43" s="905"/>
      <c r="E43" s="904">
        <f>9.19+0.0603-0.0029+0.2534-0.0134+0.7685+1.1223+0.9259+0.0998+0.0009+0.1544+0.0017+0.0428+0.0983+1.0767+0.0898+0.1252+0.1232+0.4004</f>
        <v>14.517299999999997</v>
      </c>
      <c r="F43" s="903"/>
      <c r="G43" s="904">
        <f>9.19+0.0603-0.0029+0.2534-0.0134+1.1223+0.0998+0.0009+0.1544+0.0017+0.0428+0.0983+1.0767+0.0898+0.1252+0.0121+0.4004</f>
        <v>12.711799999999997</v>
      </c>
      <c r="H43" s="882"/>
      <c r="J43" s="906"/>
      <c r="K43" s="906"/>
      <c r="L43" s="904"/>
    </row>
    <row r="44" spans="1:18" ht="15" customHeight="1" thickTop="1" x14ac:dyDescent="0.2">
      <c r="A44" s="907" t="s">
        <v>179</v>
      </c>
      <c r="B44" s="908" t="s">
        <v>166</v>
      </c>
      <c r="C44" s="909">
        <f>C26</f>
        <v>5</v>
      </c>
      <c r="D44" s="909"/>
      <c r="E44" s="909">
        <f>E23+E26</f>
        <v>68.87</v>
      </c>
      <c r="F44" s="909"/>
      <c r="G44" s="909">
        <f>G23+G26</f>
        <v>68.87</v>
      </c>
      <c r="H44" s="910"/>
      <c r="J44" s="877"/>
      <c r="K44" s="877"/>
    </row>
    <row r="45" spans="1:18" ht="15" customHeight="1" thickBot="1" x14ac:dyDescent="0.25">
      <c r="A45" s="911" t="s">
        <v>346</v>
      </c>
      <c r="B45" s="912" t="s">
        <v>339</v>
      </c>
      <c r="C45" s="913"/>
      <c r="D45" s="913"/>
      <c r="E45" s="913"/>
      <c r="F45" s="913"/>
      <c r="G45" s="914">
        <f>G20</f>
        <v>267.89999999999998</v>
      </c>
      <c r="H45" s="915"/>
      <c r="J45" s="877"/>
      <c r="K45" s="877"/>
    </row>
    <row r="46" spans="1:18" ht="13.5" customHeight="1" thickTop="1" x14ac:dyDescent="0.2">
      <c r="A46" s="869"/>
      <c r="C46" s="916"/>
      <c r="E46" s="916"/>
      <c r="G46" s="916"/>
      <c r="H46" s="870"/>
      <c r="J46" s="917"/>
      <c r="K46" s="877"/>
    </row>
    <row r="47" spans="1:18" s="919" customFormat="1" ht="15" customHeight="1" x14ac:dyDescent="0.2">
      <c r="A47" s="918" t="s">
        <v>342</v>
      </c>
      <c r="B47" s="919" t="s">
        <v>354</v>
      </c>
      <c r="C47" s="921" t="s">
        <v>355</v>
      </c>
      <c r="F47" s="921" t="s">
        <v>193</v>
      </c>
      <c r="G47" s="921"/>
      <c r="H47" s="895"/>
      <c r="J47" s="922"/>
      <c r="K47" s="923"/>
      <c r="L47" s="924"/>
      <c r="R47" s="925"/>
    </row>
    <row r="48" spans="1:18" ht="15" customHeight="1" x14ac:dyDescent="0.2">
      <c r="A48" s="918"/>
      <c r="B48" s="919"/>
      <c r="C48" s="921"/>
      <c r="E48" s="921"/>
      <c r="F48" s="921" t="s">
        <v>193</v>
      </c>
      <c r="G48" s="921"/>
      <c r="H48" s="870"/>
      <c r="J48" s="877"/>
      <c r="K48" s="877"/>
    </row>
    <row r="49" spans="1:18" s="930" customFormat="1" ht="15" customHeight="1" x14ac:dyDescent="0.2">
      <c r="A49" s="926" t="s">
        <v>356</v>
      </c>
      <c r="B49" s="927"/>
      <c r="C49" s="928"/>
      <c r="D49" s="928"/>
      <c r="E49" s="928"/>
      <c r="F49" s="928"/>
      <c r="G49" s="928"/>
      <c r="H49" s="929"/>
      <c r="J49" s="931"/>
      <c r="K49" s="931"/>
      <c r="L49" s="932"/>
      <c r="R49" s="933"/>
    </row>
    <row r="50" spans="1:18" s="919" customFormat="1" ht="15" customHeight="1" thickBot="1" x14ac:dyDescent="0.25">
      <c r="A50" s="1065" t="s">
        <v>357</v>
      </c>
      <c r="B50" s="1066"/>
      <c r="C50" s="1066"/>
      <c r="D50" s="1066"/>
      <c r="E50" s="1066"/>
      <c r="F50" s="1066"/>
      <c r="G50" s="1066"/>
      <c r="H50" s="1067"/>
      <c r="J50" s="923"/>
      <c r="K50" s="923"/>
      <c r="L50" s="924"/>
      <c r="R50" s="925"/>
    </row>
  </sheetData>
  <mergeCells count="4">
    <mergeCell ref="A8:B8"/>
    <mergeCell ref="D8:F8"/>
    <mergeCell ref="G8:H8"/>
    <mergeCell ref="A50:H5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50"/>
  <sheetViews>
    <sheetView topLeftCell="A38" zoomScale="110" zoomScaleNormal="110" workbookViewId="0">
      <selection activeCell="B54" sqref="B54"/>
    </sheetView>
  </sheetViews>
  <sheetFormatPr defaultColWidth="9.140625" defaultRowHeight="15" customHeight="1" x14ac:dyDescent="0.2"/>
  <cols>
    <col min="1" max="1" width="40.42578125" style="823" customWidth="1"/>
    <col min="2" max="2" width="12" style="823" customWidth="1"/>
    <col min="3" max="3" width="12.7109375" style="823" customWidth="1"/>
    <col min="4" max="4" width="1.7109375" style="823" customWidth="1"/>
    <col min="5" max="5" width="10.85546875" style="823" customWidth="1"/>
    <col min="6" max="6" width="11.85546875" style="823" hidden="1" customWidth="1"/>
    <col min="7" max="7" width="13.42578125" style="823" customWidth="1"/>
    <col min="8" max="8" width="1.140625" style="823" customWidth="1"/>
    <col min="9" max="9" width="18.7109375" style="823" bestFit="1" customWidth="1"/>
    <col min="10" max="10" width="17.5703125" style="866" customWidth="1"/>
    <col min="11" max="11" width="14.42578125" style="866" customWidth="1"/>
    <col min="12" max="12" width="12.7109375" style="867" customWidth="1"/>
    <col min="13" max="13" width="15.5703125" style="823" customWidth="1"/>
    <col min="14" max="14" width="10" style="823" customWidth="1"/>
    <col min="15" max="15" width="16.140625" style="823" bestFit="1" customWidth="1"/>
    <col min="16" max="17" width="7.85546875" style="823" bestFit="1" customWidth="1"/>
    <col min="18" max="18" width="9.5703125" style="868" bestFit="1" customWidth="1"/>
    <col min="19" max="19" width="16.5703125" style="823" customWidth="1"/>
    <col min="20" max="20" width="12.28515625" style="823" customWidth="1"/>
    <col min="21" max="21" width="12.5703125" style="823" customWidth="1"/>
    <col min="22" max="22" width="9.140625" style="823"/>
    <col min="23" max="23" width="16.42578125" style="823" customWidth="1"/>
    <col min="24" max="24" width="17.5703125" style="823" customWidth="1"/>
    <col min="25" max="25" width="16" style="823" customWidth="1"/>
    <col min="26" max="26" width="15" style="823" customWidth="1"/>
    <col min="27" max="27" width="14.28515625" style="823" bestFit="1" customWidth="1"/>
    <col min="28" max="29" width="14.140625" style="823" customWidth="1"/>
    <col min="30" max="16384" width="9.140625" style="823"/>
  </cols>
  <sheetData>
    <row r="1" spans="1:19" ht="15" customHeight="1" thickBot="1" x14ac:dyDescent="0.25"/>
    <row r="2" spans="1:19" ht="15" customHeight="1" x14ac:dyDescent="0.2">
      <c r="A2" s="863"/>
      <c r="B2" s="864"/>
      <c r="C2" s="864"/>
      <c r="D2" s="864"/>
      <c r="E2" s="864"/>
      <c r="F2" s="864"/>
      <c r="G2" s="864"/>
      <c r="H2" s="865"/>
    </row>
    <row r="3" spans="1:19" ht="15" customHeight="1" x14ac:dyDescent="0.2">
      <c r="A3" s="869"/>
      <c r="H3" s="870"/>
    </row>
    <row r="4" spans="1:19" ht="15" customHeight="1" x14ac:dyDescent="0.2">
      <c r="A4" s="869"/>
      <c r="H4" s="870"/>
    </row>
    <row r="5" spans="1:19" ht="15" customHeight="1" x14ac:dyDescent="0.2">
      <c r="A5" s="871" t="s">
        <v>60</v>
      </c>
      <c r="H5" s="870"/>
    </row>
    <row r="6" spans="1:19" ht="15" customHeight="1" x14ac:dyDescent="0.2">
      <c r="A6" s="872" t="s">
        <v>359</v>
      </c>
      <c r="H6" s="870"/>
    </row>
    <row r="7" spans="1:19" ht="15" hidden="1" customHeight="1" x14ac:dyDescent="0.2">
      <c r="A7" s="873"/>
      <c r="H7" s="870"/>
    </row>
    <row r="8" spans="1:19" ht="15" customHeight="1" x14ac:dyDescent="0.2">
      <c r="A8" s="1056" t="s">
        <v>318</v>
      </c>
      <c r="B8" s="1057"/>
      <c r="C8" s="937" t="s">
        <v>6</v>
      </c>
      <c r="D8" s="1058" t="s">
        <v>47</v>
      </c>
      <c r="E8" s="1059"/>
      <c r="F8" s="1060"/>
      <c r="G8" s="1058" t="s">
        <v>13</v>
      </c>
      <c r="H8" s="1061"/>
    </row>
    <row r="9" spans="1:19" ht="15" customHeight="1" x14ac:dyDescent="0.2">
      <c r="A9" s="871" t="s">
        <v>149</v>
      </c>
      <c r="H9" s="870"/>
    </row>
    <row r="10" spans="1:19" ht="15" customHeight="1" x14ac:dyDescent="0.2">
      <c r="A10" s="869" t="s">
        <v>150</v>
      </c>
      <c r="B10" s="823" t="s">
        <v>338</v>
      </c>
      <c r="C10" s="821">
        <v>9.7074999999999996</v>
      </c>
      <c r="D10" s="874"/>
      <c r="E10" s="821">
        <v>9.7074999999999996</v>
      </c>
      <c r="F10" s="821"/>
      <c r="G10" s="821">
        <v>9.7074999999999996</v>
      </c>
      <c r="H10" s="875"/>
      <c r="I10" s="876"/>
      <c r="J10" s="877"/>
      <c r="K10" s="877"/>
      <c r="Q10" s="878"/>
      <c r="R10" s="879"/>
    </row>
    <row r="11" spans="1:19" ht="15" customHeight="1" x14ac:dyDescent="0.2">
      <c r="A11" s="869" t="s">
        <v>347</v>
      </c>
      <c r="B11" s="823" t="s">
        <v>338</v>
      </c>
      <c r="C11" s="821">
        <v>5.5300000000000002E-2</v>
      </c>
      <c r="D11" s="874"/>
      <c r="E11" s="821">
        <v>5.5300000000000002E-2</v>
      </c>
      <c r="F11" s="821"/>
      <c r="G11" s="821">
        <v>5.5300000000000002E-2</v>
      </c>
      <c r="H11" s="875"/>
      <c r="I11" s="876"/>
      <c r="J11" s="877"/>
      <c r="K11" s="877"/>
      <c r="Q11" s="821"/>
    </row>
    <row r="12" spans="1:19" ht="15" customHeight="1" x14ac:dyDescent="0.2">
      <c r="A12" s="869" t="s">
        <v>348</v>
      </c>
      <c r="B12" s="823" t="s">
        <v>338</v>
      </c>
      <c r="C12" s="821">
        <v>-2.7000000000000001E-3</v>
      </c>
      <c r="D12" s="874"/>
      <c r="E12" s="821">
        <v>-2.7000000000000001E-3</v>
      </c>
      <c r="F12" s="821"/>
      <c r="G12" s="821">
        <v>-2.7000000000000001E-3</v>
      </c>
      <c r="H12" s="875"/>
      <c r="I12" s="876"/>
      <c r="J12" s="877"/>
      <c r="K12" s="877"/>
      <c r="P12" s="821"/>
      <c r="Q12" s="821"/>
      <c r="S12" s="880"/>
    </row>
    <row r="13" spans="1:19" ht="15" customHeight="1" x14ac:dyDescent="0.2">
      <c r="A13" s="869" t="s">
        <v>350</v>
      </c>
      <c r="B13" s="823" t="s">
        <v>338</v>
      </c>
      <c r="C13" s="821">
        <v>0.23219999999999999</v>
      </c>
      <c r="D13" s="874"/>
      <c r="E13" s="821">
        <v>0.23219999999999999</v>
      </c>
      <c r="F13" s="821"/>
      <c r="G13" s="821">
        <v>0.23219999999999999</v>
      </c>
      <c r="H13" s="875"/>
      <c r="I13" s="876"/>
      <c r="J13" s="877"/>
      <c r="K13" s="877"/>
      <c r="Q13" s="821"/>
      <c r="R13" s="881"/>
      <c r="S13" s="881"/>
    </row>
    <row r="14" spans="1:19" ht="15" customHeight="1" x14ac:dyDescent="0.2">
      <c r="A14" s="869" t="s">
        <v>349</v>
      </c>
      <c r="B14" s="823" t="s">
        <v>338</v>
      </c>
      <c r="C14" s="821">
        <v>-1.23E-2</v>
      </c>
      <c r="D14" s="874"/>
      <c r="E14" s="821">
        <v>-1.23E-2</v>
      </c>
      <c r="F14" s="821"/>
      <c r="G14" s="821">
        <v>-1.23E-2</v>
      </c>
      <c r="H14" s="875"/>
      <c r="I14" s="876"/>
      <c r="J14" s="877"/>
      <c r="K14" s="877"/>
      <c r="Q14" s="821"/>
      <c r="R14" s="881"/>
      <c r="S14" s="881"/>
    </row>
    <row r="15" spans="1:19" ht="15" customHeight="1" x14ac:dyDescent="0.2">
      <c r="A15" s="871" t="s">
        <v>156</v>
      </c>
      <c r="C15" s="822"/>
      <c r="D15" s="822"/>
      <c r="E15" s="822"/>
      <c r="F15" s="822"/>
      <c r="G15" s="822"/>
      <c r="H15" s="882"/>
      <c r="P15" s="883"/>
      <c r="Q15" s="884"/>
      <c r="R15" s="885"/>
    </row>
    <row r="16" spans="1:19" ht="15" customHeight="1" x14ac:dyDescent="0.2">
      <c r="A16" s="869" t="s">
        <v>157</v>
      </c>
      <c r="B16" s="823" t="s">
        <v>339</v>
      </c>
      <c r="C16" s="821"/>
      <c r="D16" s="821"/>
      <c r="E16" s="821"/>
      <c r="F16" s="821"/>
      <c r="G16" s="821">
        <v>86.847899999999996</v>
      </c>
      <c r="H16" s="882"/>
      <c r="J16" s="877"/>
      <c r="K16" s="877"/>
    </row>
    <row r="17" spans="1:13" ht="15" customHeight="1" x14ac:dyDescent="0.2">
      <c r="A17" s="869" t="s">
        <v>159</v>
      </c>
      <c r="B17" s="823" t="s">
        <v>338</v>
      </c>
      <c r="C17" s="821">
        <v>0.73409999999999997</v>
      </c>
      <c r="D17" s="821"/>
      <c r="E17" s="821">
        <v>0.73409999999999997</v>
      </c>
      <c r="F17" s="821"/>
      <c r="G17" s="821"/>
      <c r="H17" s="882"/>
      <c r="J17" s="877"/>
      <c r="K17" s="877"/>
    </row>
    <row r="18" spans="1:13" ht="15" customHeight="1" x14ac:dyDescent="0.2">
      <c r="A18" s="871" t="s">
        <v>160</v>
      </c>
      <c r="B18" s="823" t="s">
        <v>338</v>
      </c>
      <c r="C18" s="821">
        <v>1.0785</v>
      </c>
      <c r="D18" s="821"/>
      <c r="E18" s="821">
        <v>1.0785</v>
      </c>
      <c r="F18" s="821"/>
      <c r="G18" s="821">
        <v>1.0785</v>
      </c>
      <c r="H18" s="882"/>
      <c r="J18" s="877"/>
      <c r="K18" s="877"/>
    </row>
    <row r="19" spans="1:13" ht="15" customHeight="1" x14ac:dyDescent="0.2">
      <c r="A19" s="871" t="s">
        <v>161</v>
      </c>
      <c r="C19" s="821"/>
      <c r="D19" s="821"/>
      <c r="E19" s="821"/>
      <c r="F19" s="821"/>
      <c r="G19" s="821"/>
      <c r="H19" s="875"/>
    </row>
    <row r="20" spans="1:13" ht="15" customHeight="1" x14ac:dyDescent="0.2">
      <c r="A20" s="869" t="s">
        <v>162</v>
      </c>
      <c r="B20" s="823" t="s">
        <v>339</v>
      </c>
      <c r="C20" s="821"/>
      <c r="D20" s="821"/>
      <c r="E20" s="821"/>
      <c r="F20" s="821"/>
      <c r="G20" s="824">
        <v>267.89999999999998</v>
      </c>
      <c r="H20" s="875"/>
      <c r="J20" s="877"/>
      <c r="K20" s="877"/>
    </row>
    <row r="21" spans="1:13" ht="15" customHeight="1" x14ac:dyDescent="0.2">
      <c r="A21" s="869" t="s">
        <v>163</v>
      </c>
      <c r="B21" s="823" t="s">
        <v>338</v>
      </c>
      <c r="C21" s="821">
        <v>0.84489999999999998</v>
      </c>
      <c r="D21" s="886"/>
      <c r="E21" s="887">
        <v>0.92589999999999995</v>
      </c>
      <c r="F21" s="821"/>
      <c r="G21" s="821"/>
      <c r="H21" s="875"/>
      <c r="J21" s="877"/>
      <c r="K21" s="877"/>
      <c r="M21" s="821"/>
    </row>
    <row r="22" spans="1:13" ht="15" customHeight="1" x14ac:dyDescent="0.2">
      <c r="A22" s="871" t="s">
        <v>164</v>
      </c>
      <c r="C22" s="821"/>
      <c r="D22" s="886"/>
      <c r="E22" s="821"/>
      <c r="F22" s="821"/>
      <c r="G22" s="821"/>
      <c r="H22" s="875"/>
    </row>
    <row r="23" spans="1:13" ht="15" customHeight="1" x14ac:dyDescent="0.2">
      <c r="A23" s="869" t="s">
        <v>334</v>
      </c>
      <c r="B23" s="823" t="s">
        <v>166</v>
      </c>
      <c r="C23" s="821"/>
      <c r="D23" s="886"/>
      <c r="E23" s="888">
        <v>40.15</v>
      </c>
      <c r="F23" s="824"/>
      <c r="G23" s="888">
        <v>40.15</v>
      </c>
      <c r="H23" s="875"/>
      <c r="J23" s="877"/>
      <c r="K23" s="877"/>
      <c r="M23" s="821"/>
    </row>
    <row r="24" spans="1:13" ht="15" customHeight="1" x14ac:dyDescent="0.2">
      <c r="A24" s="869" t="s">
        <v>167</v>
      </c>
      <c r="B24" s="823" t="s">
        <v>338</v>
      </c>
      <c r="C24" s="821">
        <v>0.7732</v>
      </c>
      <c r="D24" s="886"/>
      <c r="E24" s="821"/>
      <c r="F24" s="821"/>
      <c r="G24" s="821"/>
      <c r="H24" s="875"/>
      <c r="J24" s="877"/>
      <c r="K24" s="877"/>
    </row>
    <row r="25" spans="1:13" ht="15" customHeight="1" x14ac:dyDescent="0.2">
      <c r="A25" s="871" t="s">
        <v>168</v>
      </c>
      <c r="D25" s="886"/>
      <c r="E25" s="821"/>
      <c r="F25" s="821"/>
      <c r="G25" s="821"/>
      <c r="H25" s="875"/>
      <c r="I25" s="821"/>
    </row>
    <row r="26" spans="1:13" ht="15" customHeight="1" x14ac:dyDescent="0.2">
      <c r="A26" s="869" t="s">
        <v>221</v>
      </c>
      <c r="B26" s="823" t="s">
        <v>170</v>
      </c>
      <c r="C26" s="824">
        <v>5</v>
      </c>
      <c r="D26" s="886"/>
      <c r="E26" s="888">
        <v>28.72</v>
      </c>
      <c r="F26" s="824"/>
      <c r="G26" s="888">
        <v>28.72</v>
      </c>
      <c r="H26" s="875"/>
      <c r="J26" s="877"/>
      <c r="K26" s="877"/>
    </row>
    <row r="27" spans="1:13" ht="15" customHeight="1" x14ac:dyDescent="0.2">
      <c r="A27" s="869" t="s">
        <v>171</v>
      </c>
      <c r="B27" s="823" t="s">
        <v>338</v>
      </c>
      <c r="C27" s="821">
        <v>0.45689999999999997</v>
      </c>
      <c r="D27" s="821"/>
      <c r="E27" s="821"/>
      <c r="F27" s="821"/>
      <c r="G27" s="821"/>
      <c r="H27" s="875"/>
      <c r="J27" s="877"/>
      <c r="K27" s="877"/>
    </row>
    <row r="28" spans="1:13" ht="15" customHeight="1" x14ac:dyDescent="0.2">
      <c r="A28" s="889" t="s">
        <v>268</v>
      </c>
      <c r="B28" s="890" t="s">
        <v>338</v>
      </c>
      <c r="C28" s="825">
        <v>9.9400000000000002E-2</v>
      </c>
      <c r="D28" s="891"/>
      <c r="E28" s="892">
        <v>9.9400000000000002E-2</v>
      </c>
      <c r="F28" s="891"/>
      <c r="G28" s="892">
        <v>9.9400000000000002E-2</v>
      </c>
      <c r="H28" s="882"/>
      <c r="J28" s="877"/>
      <c r="K28" s="877"/>
    </row>
    <row r="29" spans="1:13" ht="15" customHeight="1" x14ac:dyDescent="0.2">
      <c r="A29" s="893" t="s">
        <v>269</v>
      </c>
      <c r="B29" s="823" t="s">
        <v>338</v>
      </c>
      <c r="C29" s="826">
        <v>6.9999999999999999E-4</v>
      </c>
      <c r="D29" s="894"/>
      <c r="E29" s="826">
        <v>6.9999999999999999E-4</v>
      </c>
      <c r="F29" s="894"/>
      <c r="G29" s="826">
        <v>6.9999999999999999E-4</v>
      </c>
      <c r="H29" s="882"/>
      <c r="I29" s="883"/>
      <c r="J29" s="877"/>
      <c r="K29" s="877"/>
    </row>
    <row r="30" spans="1:13" ht="16.5" customHeight="1" x14ac:dyDescent="0.2">
      <c r="A30" s="871" t="s">
        <v>174</v>
      </c>
      <c r="C30" s="821"/>
      <c r="D30" s="821"/>
      <c r="E30" s="821"/>
      <c r="F30" s="821"/>
      <c r="G30" s="821"/>
      <c r="H30" s="875"/>
    </row>
    <row r="31" spans="1:13" ht="15" customHeight="1" x14ac:dyDescent="0.2">
      <c r="A31" s="869" t="s">
        <v>175</v>
      </c>
      <c r="B31" s="823" t="s">
        <v>338</v>
      </c>
      <c r="C31" s="821">
        <v>0.15440000000000001</v>
      </c>
      <c r="D31" s="821"/>
      <c r="E31" s="821">
        <v>0.15440000000000001</v>
      </c>
      <c r="F31" s="821"/>
      <c r="G31" s="821">
        <v>0.15440000000000001</v>
      </c>
      <c r="H31" s="895"/>
      <c r="J31" s="877"/>
      <c r="K31" s="877"/>
    </row>
    <row r="32" spans="1:13" ht="15" customHeight="1" x14ac:dyDescent="0.2">
      <c r="A32" s="869" t="s">
        <v>176</v>
      </c>
      <c r="B32" s="823" t="s">
        <v>338</v>
      </c>
      <c r="C32" s="821"/>
      <c r="D32" s="821"/>
      <c r="E32" s="821"/>
      <c r="F32" s="821"/>
      <c r="G32" s="887"/>
      <c r="H32" s="875"/>
      <c r="I32" s="821"/>
      <c r="J32" s="877"/>
      <c r="K32" s="877"/>
    </row>
    <row r="33" spans="1:18" ht="15" customHeight="1" x14ac:dyDescent="0.2">
      <c r="A33" s="869" t="s">
        <v>200</v>
      </c>
      <c r="B33" s="823" t="s">
        <v>338</v>
      </c>
      <c r="C33" s="821"/>
      <c r="D33" s="821"/>
      <c r="E33" s="821"/>
      <c r="F33" s="821"/>
      <c r="G33" s="887"/>
      <c r="H33" s="875"/>
      <c r="I33" s="821"/>
      <c r="J33" s="877"/>
      <c r="K33" s="877"/>
    </row>
    <row r="34" spans="1:18" ht="15" customHeight="1" x14ac:dyDescent="0.2">
      <c r="A34" s="869" t="s">
        <v>337</v>
      </c>
      <c r="B34" s="823" t="s">
        <v>338</v>
      </c>
      <c r="C34" s="821">
        <v>1.6999999999999999E-3</v>
      </c>
      <c r="D34" s="821"/>
      <c r="E34" s="821">
        <v>1.6999999999999999E-3</v>
      </c>
      <c r="F34" s="821"/>
      <c r="G34" s="887">
        <v>1.6999999999999999E-3</v>
      </c>
      <c r="H34" s="895"/>
      <c r="J34" s="877"/>
      <c r="K34" s="877"/>
      <c r="O34" s="896"/>
      <c r="P34" s="896"/>
      <c r="Q34" s="896"/>
    </row>
    <row r="35" spans="1:18" ht="15" customHeight="1" x14ac:dyDescent="0.2">
      <c r="A35" s="869" t="s">
        <v>340</v>
      </c>
      <c r="B35" s="823" t="s">
        <v>338</v>
      </c>
      <c r="C35" s="821">
        <v>4.2799999999999998E-2</v>
      </c>
      <c r="D35" s="821"/>
      <c r="E35" s="821">
        <v>4.2799999999999998E-2</v>
      </c>
      <c r="F35" s="821"/>
      <c r="G35" s="887">
        <v>4.2799999999999998E-2</v>
      </c>
      <c r="H35" s="895"/>
      <c r="I35" s="821"/>
      <c r="J35" s="877"/>
      <c r="K35" s="877"/>
    </row>
    <row r="36" spans="1:18" ht="15" customHeight="1" x14ac:dyDescent="0.2">
      <c r="A36" s="893" t="s">
        <v>335</v>
      </c>
      <c r="B36" s="823" t="s">
        <v>338</v>
      </c>
      <c r="C36" s="827">
        <v>9.8299999999999998E-2</v>
      </c>
      <c r="D36" s="891"/>
      <c r="E36" s="827">
        <v>9.8299999999999998E-2</v>
      </c>
      <c r="F36" s="891"/>
      <c r="G36" s="827">
        <v>9.8299999999999998E-2</v>
      </c>
      <c r="H36" s="895"/>
      <c r="J36" s="877"/>
      <c r="K36" s="877"/>
    </row>
    <row r="37" spans="1:18" ht="15" customHeight="1" x14ac:dyDescent="0.2">
      <c r="A37" s="871" t="s">
        <v>182</v>
      </c>
      <c r="C37" s="821"/>
      <c r="D37" s="821"/>
      <c r="E37" s="887"/>
      <c r="F37" s="821"/>
      <c r="G37" s="887"/>
      <c r="H37" s="895"/>
    </row>
    <row r="38" spans="1:18" ht="15" customHeight="1" x14ac:dyDescent="0.2">
      <c r="A38" s="869" t="s">
        <v>211</v>
      </c>
      <c r="B38" s="823" t="s">
        <v>338</v>
      </c>
      <c r="C38" s="821">
        <v>1.1404000000000001</v>
      </c>
      <c r="D38" s="821"/>
      <c r="E38" s="821">
        <v>1.1404000000000001</v>
      </c>
      <c r="F38" s="821"/>
      <c r="G38" s="887">
        <v>1.1404000000000001</v>
      </c>
      <c r="H38" s="895"/>
      <c r="J38" s="877"/>
      <c r="K38" s="877"/>
      <c r="M38" s="897"/>
    </row>
    <row r="39" spans="1:18" ht="15" customHeight="1" x14ac:dyDescent="0.2">
      <c r="A39" s="869" t="s">
        <v>212</v>
      </c>
      <c r="B39" s="823" t="s">
        <v>338</v>
      </c>
      <c r="C39" s="821">
        <v>8.5099999999999995E-2</v>
      </c>
      <c r="D39" s="821"/>
      <c r="E39" s="821">
        <v>8.5099999999999995E-2</v>
      </c>
      <c r="F39" s="821"/>
      <c r="G39" s="887">
        <v>8.5099999999999995E-2</v>
      </c>
      <c r="H39" s="895"/>
      <c r="J39" s="877"/>
      <c r="K39" s="877"/>
      <c r="M39" s="897"/>
    </row>
    <row r="40" spans="1:18" ht="15" customHeight="1" x14ac:dyDescent="0.2">
      <c r="A40" s="869" t="s">
        <v>213</v>
      </c>
      <c r="B40" s="823" t="s">
        <v>338</v>
      </c>
      <c r="C40" s="821">
        <v>0.12039999999999999</v>
      </c>
      <c r="D40" s="821"/>
      <c r="E40" s="821">
        <v>0.12039999999999999</v>
      </c>
      <c r="F40" s="821"/>
      <c r="G40" s="887">
        <v>0.12039999999999999</v>
      </c>
      <c r="H40" s="895"/>
      <c r="J40" s="877"/>
      <c r="K40" s="877"/>
      <c r="M40" s="897"/>
    </row>
    <row r="41" spans="1:18" ht="15" customHeight="1" x14ac:dyDescent="0.2">
      <c r="A41" s="869" t="s">
        <v>214</v>
      </c>
      <c r="B41" s="823" t="s">
        <v>338</v>
      </c>
      <c r="C41" s="821">
        <v>0.26100000000000001</v>
      </c>
      <c r="D41" s="821"/>
      <c r="E41" s="821">
        <v>0.1231</v>
      </c>
      <c r="F41" s="821"/>
      <c r="G41" s="887">
        <v>1.2E-2</v>
      </c>
      <c r="H41" s="895"/>
      <c r="J41" s="877"/>
      <c r="K41" s="877"/>
      <c r="L41" s="898"/>
      <c r="M41" s="897"/>
    </row>
    <row r="42" spans="1:18" ht="15" customHeight="1" x14ac:dyDescent="0.2">
      <c r="A42" s="899" t="s">
        <v>177</v>
      </c>
      <c r="B42" s="900" t="s">
        <v>338</v>
      </c>
      <c r="C42" s="828">
        <v>0.40039999999999998</v>
      </c>
      <c r="D42" s="828"/>
      <c r="E42" s="828">
        <v>0.40039999999999998</v>
      </c>
      <c r="F42" s="828"/>
      <c r="G42" s="901">
        <v>0.40039999999999998</v>
      </c>
      <c r="H42" s="902"/>
      <c r="J42" s="877"/>
      <c r="K42" s="877"/>
    </row>
    <row r="43" spans="1:18" ht="15" customHeight="1" thickBot="1" x14ac:dyDescent="0.25">
      <c r="A43" s="936" t="s">
        <v>178</v>
      </c>
      <c r="B43" s="903"/>
      <c r="C43" s="904">
        <f>9.7075+0.0553-0.0027+0.2322-0.0123+0.7341+1.0785+0.8449+0.7732+0.4569+0.0994+0.0007+0.1544+0.0017+0.0428+0.0983+1.1404+0.0851+0.1204+0.261+0.4004</f>
        <v>16.272199999999998</v>
      </c>
      <c r="D43" s="905"/>
      <c r="E43" s="904">
        <f>9.7075+0.0553-0.0027+0.2322-0.0123+0.7341+1.0785+0.9259+0.0994+0.0007+0.1544+0.0017+0.0428+0.0983+1.1404+0.0851+0.1204+0.1231+0.4004</f>
        <v>14.985200000000001</v>
      </c>
      <c r="F43" s="903"/>
      <c r="G43" s="904">
        <f>9.7075+0.0553-0.0027+0.2322-0.0123+1.0785+0.0994+0.0007+0.1544+0.0017+0.0428+0.0983+1.1404+0.0851+0.1204+0.012+0.4004</f>
        <v>13.2141</v>
      </c>
      <c r="H43" s="882"/>
      <c r="J43" s="906"/>
      <c r="K43" s="906"/>
      <c r="L43" s="904"/>
    </row>
    <row r="44" spans="1:18" ht="15" customHeight="1" thickTop="1" x14ac:dyDescent="0.2">
      <c r="A44" s="907" t="s">
        <v>179</v>
      </c>
      <c r="B44" s="908" t="s">
        <v>166</v>
      </c>
      <c r="C44" s="909">
        <f>C26</f>
        <v>5</v>
      </c>
      <c r="D44" s="909"/>
      <c r="E44" s="909">
        <f>E23+E26</f>
        <v>68.87</v>
      </c>
      <c r="F44" s="909"/>
      <c r="G44" s="909">
        <f>G23+G26</f>
        <v>68.87</v>
      </c>
      <c r="H44" s="910"/>
      <c r="J44" s="877"/>
      <c r="K44" s="877"/>
    </row>
    <row r="45" spans="1:18" ht="15" customHeight="1" thickBot="1" x14ac:dyDescent="0.25">
      <c r="A45" s="911" t="s">
        <v>346</v>
      </c>
      <c r="B45" s="912" t="s">
        <v>339</v>
      </c>
      <c r="C45" s="913"/>
      <c r="D45" s="913"/>
      <c r="E45" s="913"/>
      <c r="F45" s="913"/>
      <c r="G45" s="914">
        <f>G20</f>
        <v>267.89999999999998</v>
      </c>
      <c r="H45" s="915"/>
      <c r="J45" s="877"/>
      <c r="K45" s="877"/>
    </row>
    <row r="46" spans="1:18" ht="13.5" customHeight="1" thickTop="1" x14ac:dyDescent="0.2">
      <c r="A46" s="869"/>
      <c r="C46" s="916"/>
      <c r="E46" s="916"/>
      <c r="G46" s="916"/>
      <c r="H46" s="870"/>
      <c r="J46" s="917"/>
      <c r="K46" s="877"/>
    </row>
    <row r="47" spans="1:18" s="919" customFormat="1" ht="15" customHeight="1" x14ac:dyDescent="0.2">
      <c r="A47" s="918" t="s">
        <v>342</v>
      </c>
      <c r="B47" s="919" t="s">
        <v>354</v>
      </c>
      <c r="C47" s="921" t="s">
        <v>355</v>
      </c>
      <c r="F47" s="921" t="s">
        <v>193</v>
      </c>
      <c r="G47" s="921"/>
      <c r="H47" s="895"/>
      <c r="J47" s="922"/>
      <c r="K47" s="923"/>
      <c r="L47" s="924"/>
      <c r="R47" s="925"/>
    </row>
    <row r="48" spans="1:18" ht="15" customHeight="1" x14ac:dyDescent="0.2">
      <c r="A48" s="918"/>
      <c r="B48" s="919"/>
      <c r="C48" s="921"/>
      <c r="E48" s="921"/>
      <c r="F48" s="921" t="s">
        <v>193</v>
      </c>
      <c r="G48" s="921"/>
      <c r="H48" s="870"/>
      <c r="J48" s="877"/>
      <c r="K48" s="877"/>
    </row>
    <row r="49" spans="1:18" s="930" customFormat="1" ht="15" customHeight="1" x14ac:dyDescent="0.2">
      <c r="A49" s="926" t="s">
        <v>356</v>
      </c>
      <c r="B49" s="927"/>
      <c r="C49" s="928"/>
      <c r="D49" s="928"/>
      <c r="E49" s="928"/>
      <c r="F49" s="928"/>
      <c r="G49" s="928"/>
      <c r="H49" s="929"/>
      <c r="J49" s="931"/>
      <c r="K49" s="931"/>
      <c r="L49" s="932"/>
      <c r="R49" s="933"/>
    </row>
    <row r="50" spans="1:18" s="919" customFormat="1" ht="15" customHeight="1" thickBot="1" x14ac:dyDescent="0.25">
      <c r="A50" s="1065" t="s">
        <v>357</v>
      </c>
      <c r="B50" s="1066"/>
      <c r="C50" s="1066"/>
      <c r="D50" s="1066"/>
      <c r="E50" s="1066"/>
      <c r="F50" s="1066"/>
      <c r="G50" s="1066"/>
      <c r="H50" s="1067"/>
      <c r="J50" s="923"/>
      <c r="K50" s="923"/>
      <c r="L50" s="924"/>
      <c r="R50" s="925"/>
    </row>
  </sheetData>
  <mergeCells count="4">
    <mergeCell ref="A8:B8"/>
    <mergeCell ref="D8:F8"/>
    <mergeCell ref="G8:H8"/>
    <mergeCell ref="A50:H5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50"/>
  <sheetViews>
    <sheetView topLeftCell="A38" zoomScale="110" zoomScaleNormal="110" workbookViewId="0">
      <selection activeCell="B54" sqref="B54"/>
    </sheetView>
  </sheetViews>
  <sheetFormatPr defaultColWidth="9.140625" defaultRowHeight="15" customHeight="1" x14ac:dyDescent="0.2"/>
  <cols>
    <col min="1" max="1" width="39.140625" style="823" customWidth="1"/>
    <col min="2" max="2" width="12" style="823" customWidth="1"/>
    <col min="3" max="3" width="13.140625" style="823" customWidth="1"/>
    <col min="4" max="4" width="1.7109375" style="823" customWidth="1"/>
    <col min="5" max="5" width="11.5703125" style="823" customWidth="1"/>
    <col min="6" max="6" width="11.85546875" style="823" hidden="1" customWidth="1"/>
    <col min="7" max="7" width="13.42578125" style="823" customWidth="1"/>
    <col min="8" max="8" width="1.140625" style="823" customWidth="1"/>
    <col min="9" max="9" width="18.7109375" style="823" bestFit="1" customWidth="1"/>
    <col min="10" max="10" width="17.5703125" style="866" customWidth="1"/>
    <col min="11" max="11" width="14.42578125" style="866" customWidth="1"/>
    <col min="12" max="12" width="12.7109375" style="867" customWidth="1"/>
    <col min="13" max="13" width="15.5703125" style="823" customWidth="1"/>
    <col min="14" max="14" width="10" style="823" customWidth="1"/>
    <col min="15" max="15" width="16.140625" style="823" bestFit="1" customWidth="1"/>
    <col min="16" max="17" width="7.85546875" style="823" bestFit="1" customWidth="1"/>
    <col min="18" max="18" width="9.5703125" style="868" bestFit="1" customWidth="1"/>
    <col min="19" max="19" width="16.5703125" style="823" customWidth="1"/>
    <col min="20" max="20" width="12.28515625" style="823" customWidth="1"/>
    <col min="21" max="21" width="12.5703125" style="823" customWidth="1"/>
    <col min="22" max="22" width="9.140625" style="823"/>
    <col min="23" max="23" width="16.42578125" style="823" customWidth="1"/>
    <col min="24" max="24" width="17.5703125" style="823" customWidth="1"/>
    <col min="25" max="25" width="16" style="823" customWidth="1"/>
    <col min="26" max="26" width="15" style="823" customWidth="1"/>
    <col min="27" max="27" width="14.28515625" style="823" bestFit="1" customWidth="1"/>
    <col min="28" max="29" width="14.140625" style="823" customWidth="1"/>
    <col min="30" max="16384" width="9.140625" style="823"/>
  </cols>
  <sheetData>
    <row r="1" spans="1:19" ht="15" customHeight="1" thickBot="1" x14ac:dyDescent="0.25"/>
    <row r="2" spans="1:19" ht="15" customHeight="1" x14ac:dyDescent="0.2">
      <c r="A2" s="863"/>
      <c r="B2" s="864"/>
      <c r="C2" s="864"/>
      <c r="D2" s="864"/>
      <c r="E2" s="864"/>
      <c r="F2" s="864"/>
      <c r="G2" s="864"/>
      <c r="H2" s="865"/>
    </row>
    <row r="3" spans="1:19" ht="15" customHeight="1" x14ac:dyDescent="0.2">
      <c r="A3" s="869"/>
      <c r="H3" s="870"/>
    </row>
    <row r="4" spans="1:19" ht="15" customHeight="1" x14ac:dyDescent="0.2">
      <c r="A4" s="869"/>
      <c r="H4" s="870"/>
    </row>
    <row r="5" spans="1:19" ht="15" customHeight="1" x14ac:dyDescent="0.2">
      <c r="A5" s="871" t="s">
        <v>60</v>
      </c>
      <c r="H5" s="870"/>
    </row>
    <row r="6" spans="1:19" ht="15" customHeight="1" x14ac:dyDescent="0.2">
      <c r="A6" s="872" t="s">
        <v>360</v>
      </c>
      <c r="H6" s="870"/>
    </row>
    <row r="7" spans="1:19" ht="15" hidden="1" customHeight="1" x14ac:dyDescent="0.2">
      <c r="A7" s="873"/>
      <c r="H7" s="870"/>
    </row>
    <row r="8" spans="1:19" ht="15" customHeight="1" x14ac:dyDescent="0.2">
      <c r="A8" s="1056" t="s">
        <v>318</v>
      </c>
      <c r="B8" s="1057"/>
      <c r="C8" s="937" t="s">
        <v>6</v>
      </c>
      <c r="D8" s="1058" t="s">
        <v>47</v>
      </c>
      <c r="E8" s="1059"/>
      <c r="F8" s="1060"/>
      <c r="G8" s="1058" t="s">
        <v>13</v>
      </c>
      <c r="H8" s="1061"/>
    </row>
    <row r="9" spans="1:19" ht="15" customHeight="1" x14ac:dyDescent="0.2">
      <c r="A9" s="871" t="s">
        <v>149</v>
      </c>
      <c r="H9" s="870"/>
    </row>
    <row r="10" spans="1:19" ht="15" customHeight="1" x14ac:dyDescent="0.2">
      <c r="A10" s="869" t="s">
        <v>150</v>
      </c>
      <c r="B10" s="823" t="s">
        <v>338</v>
      </c>
      <c r="C10" s="821">
        <v>10.331799999999999</v>
      </c>
      <c r="D10" s="874"/>
      <c r="E10" s="821">
        <v>10.331799999999999</v>
      </c>
      <c r="F10" s="821"/>
      <c r="G10" s="821">
        <v>10.331799999999999</v>
      </c>
      <c r="H10" s="875"/>
      <c r="I10" s="876"/>
      <c r="J10" s="877"/>
      <c r="K10" s="877"/>
      <c r="Q10" s="878"/>
      <c r="R10" s="879"/>
    </row>
    <row r="11" spans="1:19" ht="15" customHeight="1" x14ac:dyDescent="0.2">
      <c r="A11" s="869" t="s">
        <v>347</v>
      </c>
      <c r="B11" s="823" t="s">
        <v>338</v>
      </c>
      <c r="C11" s="821">
        <v>5.4300000000000001E-2</v>
      </c>
      <c r="D11" s="874"/>
      <c r="E11" s="821">
        <v>5.4300000000000001E-2</v>
      </c>
      <c r="F11" s="821"/>
      <c r="G11" s="821">
        <v>5.4300000000000001E-2</v>
      </c>
      <c r="H11" s="875"/>
      <c r="I11" s="876"/>
      <c r="J11" s="877"/>
      <c r="K11" s="877"/>
      <c r="Q11" s="821"/>
    </row>
    <row r="12" spans="1:19" ht="15" customHeight="1" x14ac:dyDescent="0.2">
      <c r="A12" s="869" t="s">
        <v>348</v>
      </c>
      <c r="B12" s="823" t="s">
        <v>338</v>
      </c>
      <c r="C12" s="821">
        <v>-2.5999999999999999E-3</v>
      </c>
      <c r="D12" s="874"/>
      <c r="E12" s="821">
        <v>-2.5999999999999999E-3</v>
      </c>
      <c r="F12" s="821"/>
      <c r="G12" s="821">
        <v>-2.5999999999999999E-3</v>
      </c>
      <c r="H12" s="875"/>
      <c r="I12" s="876"/>
      <c r="J12" s="877"/>
      <c r="K12" s="877"/>
      <c r="P12" s="821"/>
      <c r="Q12" s="821"/>
      <c r="S12" s="880"/>
    </row>
    <row r="13" spans="1:19" ht="15" customHeight="1" x14ac:dyDescent="0.2">
      <c r="A13" s="869" t="s">
        <v>350</v>
      </c>
      <c r="B13" s="823" t="s">
        <v>338</v>
      </c>
      <c r="C13" s="821">
        <v>0.2281</v>
      </c>
      <c r="D13" s="874"/>
      <c r="E13" s="821">
        <v>0.2281</v>
      </c>
      <c r="F13" s="821"/>
      <c r="G13" s="821">
        <v>0.2281</v>
      </c>
      <c r="H13" s="875"/>
      <c r="I13" s="876"/>
      <c r="J13" s="877"/>
      <c r="K13" s="877"/>
      <c r="Q13" s="821"/>
      <c r="R13" s="881"/>
      <c r="S13" s="881"/>
    </row>
    <row r="14" spans="1:19" ht="15" customHeight="1" x14ac:dyDescent="0.2">
      <c r="A14" s="869" t="s">
        <v>349</v>
      </c>
      <c r="B14" s="823" t="s">
        <v>338</v>
      </c>
      <c r="C14" s="821">
        <v>-1.21E-2</v>
      </c>
      <c r="D14" s="874"/>
      <c r="E14" s="821">
        <v>-1.21E-2</v>
      </c>
      <c r="F14" s="821"/>
      <c r="G14" s="821">
        <v>-1.21E-2</v>
      </c>
      <c r="H14" s="875"/>
      <c r="I14" s="876"/>
      <c r="J14" s="877"/>
      <c r="K14" s="877"/>
      <c r="Q14" s="821"/>
      <c r="R14" s="881"/>
      <c r="S14" s="881"/>
    </row>
    <row r="15" spans="1:19" ht="15" customHeight="1" x14ac:dyDescent="0.2">
      <c r="A15" s="871" t="s">
        <v>156</v>
      </c>
      <c r="C15" s="822"/>
      <c r="D15" s="822"/>
      <c r="E15" s="822"/>
      <c r="F15" s="822"/>
      <c r="G15" s="822"/>
      <c r="H15" s="882"/>
      <c r="P15" s="883"/>
      <c r="Q15" s="884"/>
      <c r="R15" s="885"/>
    </row>
    <row r="16" spans="1:19" ht="15" customHeight="1" x14ac:dyDescent="0.2">
      <c r="A16" s="869" t="s">
        <v>157</v>
      </c>
      <c r="B16" s="823" t="s">
        <v>339</v>
      </c>
      <c r="C16" s="821"/>
      <c r="D16" s="821"/>
      <c r="E16" s="821"/>
      <c r="F16" s="821"/>
      <c r="G16" s="821">
        <v>152.4718</v>
      </c>
      <c r="H16" s="882"/>
      <c r="J16" s="877"/>
      <c r="K16" s="877"/>
    </row>
    <row r="17" spans="1:13" ht="15" customHeight="1" x14ac:dyDescent="0.2">
      <c r="A17" s="869" t="s">
        <v>159</v>
      </c>
      <c r="B17" s="823" t="s">
        <v>338</v>
      </c>
      <c r="C17" s="821">
        <v>0.78649999999999998</v>
      </c>
      <c r="D17" s="821"/>
      <c r="E17" s="821">
        <v>0.78649999999999998</v>
      </c>
      <c r="F17" s="821"/>
      <c r="G17" s="821"/>
      <c r="H17" s="882"/>
      <c r="J17" s="877"/>
      <c r="K17" s="877"/>
    </row>
    <row r="18" spans="1:13" ht="15" customHeight="1" x14ac:dyDescent="0.2">
      <c r="A18" s="871" t="s">
        <v>160</v>
      </c>
      <c r="B18" s="823" t="s">
        <v>338</v>
      </c>
      <c r="C18" s="821">
        <v>1.2206999999999999</v>
      </c>
      <c r="D18" s="821"/>
      <c r="E18" s="821">
        <v>1.2206999999999999</v>
      </c>
      <c r="F18" s="821"/>
      <c r="G18" s="821">
        <v>1.2206999999999999</v>
      </c>
      <c r="H18" s="882"/>
      <c r="J18" s="877"/>
      <c r="K18" s="877"/>
    </row>
    <row r="19" spans="1:13" ht="15" customHeight="1" x14ac:dyDescent="0.2">
      <c r="A19" s="871" t="s">
        <v>161</v>
      </c>
      <c r="C19" s="821"/>
      <c r="D19" s="821"/>
      <c r="E19" s="821"/>
      <c r="F19" s="821"/>
      <c r="G19" s="821"/>
      <c r="H19" s="875"/>
    </row>
    <row r="20" spans="1:13" ht="15" customHeight="1" x14ac:dyDescent="0.2">
      <c r="A20" s="869" t="s">
        <v>162</v>
      </c>
      <c r="B20" s="823" t="s">
        <v>339</v>
      </c>
      <c r="C20" s="821"/>
      <c r="D20" s="821"/>
      <c r="E20" s="821"/>
      <c r="F20" s="821"/>
      <c r="G20" s="824">
        <v>267.89999999999998</v>
      </c>
      <c r="H20" s="875"/>
      <c r="J20" s="877"/>
      <c r="K20" s="877"/>
    </row>
    <row r="21" spans="1:13" ht="15" customHeight="1" x14ac:dyDescent="0.2">
      <c r="A21" s="869" t="s">
        <v>163</v>
      </c>
      <c r="B21" s="823" t="s">
        <v>338</v>
      </c>
      <c r="C21" s="821">
        <v>0.84489999999999998</v>
      </c>
      <c r="D21" s="886"/>
      <c r="E21" s="887">
        <v>0.92589999999999995</v>
      </c>
      <c r="F21" s="821"/>
      <c r="G21" s="821"/>
      <c r="H21" s="875"/>
      <c r="J21" s="877"/>
      <c r="K21" s="877"/>
      <c r="M21" s="821"/>
    </row>
    <row r="22" spans="1:13" ht="15" customHeight="1" x14ac:dyDescent="0.2">
      <c r="A22" s="871" t="s">
        <v>164</v>
      </c>
      <c r="C22" s="821"/>
      <c r="D22" s="886"/>
      <c r="E22" s="821"/>
      <c r="F22" s="821"/>
      <c r="G22" s="821"/>
      <c r="H22" s="875"/>
    </row>
    <row r="23" spans="1:13" ht="15" customHeight="1" x14ac:dyDescent="0.2">
      <c r="A23" s="869" t="s">
        <v>334</v>
      </c>
      <c r="B23" s="823" t="s">
        <v>166</v>
      </c>
      <c r="C23" s="821"/>
      <c r="D23" s="886"/>
      <c r="E23" s="888">
        <v>40.15</v>
      </c>
      <c r="F23" s="824"/>
      <c r="G23" s="888">
        <v>40.15</v>
      </c>
      <c r="H23" s="875"/>
      <c r="J23" s="877"/>
      <c r="K23" s="877"/>
      <c r="M23" s="821"/>
    </row>
    <row r="24" spans="1:13" ht="15" customHeight="1" x14ac:dyDescent="0.2">
      <c r="A24" s="869" t="s">
        <v>167</v>
      </c>
      <c r="B24" s="823" t="s">
        <v>338</v>
      </c>
      <c r="C24" s="821">
        <v>0.7732</v>
      </c>
      <c r="D24" s="886"/>
      <c r="E24" s="821"/>
      <c r="F24" s="821"/>
      <c r="G24" s="821"/>
      <c r="H24" s="875"/>
      <c r="J24" s="877"/>
      <c r="K24" s="877"/>
    </row>
    <row r="25" spans="1:13" ht="15" customHeight="1" x14ac:dyDescent="0.2">
      <c r="A25" s="871" t="s">
        <v>168</v>
      </c>
      <c r="D25" s="886"/>
      <c r="E25" s="821"/>
      <c r="F25" s="821"/>
      <c r="G25" s="821"/>
      <c r="H25" s="875"/>
      <c r="I25" s="821"/>
    </row>
    <row r="26" spans="1:13" ht="15" customHeight="1" x14ac:dyDescent="0.2">
      <c r="A26" s="869" t="s">
        <v>221</v>
      </c>
      <c r="B26" s="823" t="s">
        <v>170</v>
      </c>
      <c r="C26" s="824">
        <v>5</v>
      </c>
      <c r="D26" s="886"/>
      <c r="E26" s="888">
        <v>28.72</v>
      </c>
      <c r="F26" s="824"/>
      <c r="G26" s="888">
        <v>28.72</v>
      </c>
      <c r="H26" s="875"/>
      <c r="J26" s="877"/>
      <c r="K26" s="877"/>
    </row>
    <row r="27" spans="1:13" ht="15" customHeight="1" x14ac:dyDescent="0.2">
      <c r="A27" s="869" t="s">
        <v>171</v>
      </c>
      <c r="B27" s="823" t="s">
        <v>338</v>
      </c>
      <c r="C27" s="821">
        <v>0.45689999999999997</v>
      </c>
      <c r="D27" s="821"/>
      <c r="E27" s="821"/>
      <c r="F27" s="821"/>
      <c r="G27" s="821"/>
      <c r="H27" s="875"/>
      <c r="J27" s="877"/>
      <c r="K27" s="877"/>
    </row>
    <row r="28" spans="1:13" ht="15" customHeight="1" x14ac:dyDescent="0.2">
      <c r="A28" s="889" t="s">
        <v>268</v>
      </c>
      <c r="B28" s="890" t="s">
        <v>338</v>
      </c>
      <c r="C28" s="825">
        <v>9.8900000000000002E-2</v>
      </c>
      <c r="D28" s="891"/>
      <c r="E28" s="892">
        <v>9.8900000000000002E-2</v>
      </c>
      <c r="F28" s="891"/>
      <c r="G28" s="892">
        <v>9.8900000000000002E-2</v>
      </c>
      <c r="H28" s="882"/>
      <c r="J28" s="877"/>
      <c r="K28" s="877"/>
    </row>
    <row r="29" spans="1:13" ht="15" customHeight="1" x14ac:dyDescent="0.2">
      <c r="A29" s="893" t="s">
        <v>269</v>
      </c>
      <c r="B29" s="823" t="s">
        <v>338</v>
      </c>
      <c r="C29" s="826">
        <v>5.9999999999999995E-4</v>
      </c>
      <c r="D29" s="894"/>
      <c r="E29" s="826">
        <v>5.9999999999999995E-4</v>
      </c>
      <c r="F29" s="894"/>
      <c r="G29" s="826">
        <v>5.9999999999999995E-4</v>
      </c>
      <c r="H29" s="882"/>
      <c r="I29" s="883"/>
      <c r="J29" s="877"/>
      <c r="K29" s="877"/>
    </row>
    <row r="30" spans="1:13" ht="16.5" customHeight="1" x14ac:dyDescent="0.2">
      <c r="A30" s="871" t="s">
        <v>174</v>
      </c>
      <c r="C30" s="821"/>
      <c r="D30" s="821"/>
      <c r="E30" s="821"/>
      <c r="F30" s="821"/>
      <c r="G30" s="821"/>
      <c r="H30" s="875"/>
    </row>
    <row r="31" spans="1:13" ht="15" customHeight="1" x14ac:dyDescent="0.2">
      <c r="A31" s="869" t="s">
        <v>175</v>
      </c>
      <c r="B31" s="823" t="s">
        <v>338</v>
      </c>
      <c r="C31" s="821">
        <v>0.15440000000000001</v>
      </c>
      <c r="D31" s="821"/>
      <c r="E31" s="821">
        <v>0.15440000000000001</v>
      </c>
      <c r="F31" s="821"/>
      <c r="G31" s="821">
        <v>0.15440000000000001</v>
      </c>
      <c r="H31" s="895"/>
      <c r="J31" s="877"/>
      <c r="K31" s="877"/>
    </row>
    <row r="32" spans="1:13" ht="15" customHeight="1" x14ac:dyDescent="0.2">
      <c r="A32" s="869" t="s">
        <v>176</v>
      </c>
      <c r="B32" s="823" t="s">
        <v>338</v>
      </c>
      <c r="C32" s="821"/>
      <c r="D32" s="821"/>
      <c r="E32" s="821"/>
      <c r="F32" s="821"/>
      <c r="G32" s="887"/>
      <c r="H32" s="875"/>
      <c r="I32" s="821"/>
      <c r="J32" s="877"/>
      <c r="K32" s="877"/>
    </row>
    <row r="33" spans="1:18" ht="15" customHeight="1" x14ac:dyDescent="0.2">
      <c r="A33" s="869" t="s">
        <v>200</v>
      </c>
      <c r="B33" s="823" t="s">
        <v>338</v>
      </c>
      <c r="C33" s="821"/>
      <c r="D33" s="821"/>
      <c r="E33" s="821"/>
      <c r="F33" s="821"/>
      <c r="G33" s="887"/>
      <c r="H33" s="875"/>
      <c r="I33" s="821"/>
      <c r="J33" s="877"/>
      <c r="K33" s="877"/>
    </row>
    <row r="34" spans="1:18" ht="15" customHeight="1" x14ac:dyDescent="0.2">
      <c r="A34" s="869" t="s">
        <v>337</v>
      </c>
      <c r="B34" s="823" t="s">
        <v>338</v>
      </c>
      <c r="C34" s="821">
        <v>1.6999999999999999E-3</v>
      </c>
      <c r="D34" s="821"/>
      <c r="E34" s="821">
        <v>1.6999999999999999E-3</v>
      </c>
      <c r="F34" s="821"/>
      <c r="G34" s="887">
        <v>1.6999999999999999E-3</v>
      </c>
      <c r="H34" s="895"/>
      <c r="J34" s="877"/>
      <c r="K34" s="877"/>
      <c r="O34" s="896"/>
      <c r="P34" s="896"/>
      <c r="Q34" s="896"/>
    </row>
    <row r="35" spans="1:18" ht="15" customHeight="1" x14ac:dyDescent="0.2">
      <c r="A35" s="869" t="s">
        <v>340</v>
      </c>
      <c r="B35" s="823" t="s">
        <v>338</v>
      </c>
      <c r="C35" s="821">
        <v>4.2799999999999998E-2</v>
      </c>
      <c r="D35" s="821"/>
      <c r="E35" s="821">
        <v>4.2799999999999998E-2</v>
      </c>
      <c r="F35" s="821"/>
      <c r="G35" s="887">
        <v>4.2799999999999998E-2</v>
      </c>
      <c r="H35" s="895"/>
      <c r="I35" s="821"/>
      <c r="J35" s="877"/>
      <c r="K35" s="877"/>
    </row>
    <row r="36" spans="1:18" ht="15" customHeight="1" x14ac:dyDescent="0.2">
      <c r="A36" s="893" t="s">
        <v>335</v>
      </c>
      <c r="B36" s="823" t="s">
        <v>338</v>
      </c>
      <c r="C36" s="827">
        <v>9.8299999999999998E-2</v>
      </c>
      <c r="D36" s="891"/>
      <c r="E36" s="827">
        <v>9.8299999999999998E-2</v>
      </c>
      <c r="F36" s="891"/>
      <c r="G36" s="827">
        <v>9.8299999999999998E-2</v>
      </c>
      <c r="H36" s="895"/>
      <c r="J36" s="877"/>
      <c r="K36" s="877"/>
    </row>
    <row r="37" spans="1:18" ht="15" customHeight="1" x14ac:dyDescent="0.2">
      <c r="A37" s="871" t="s">
        <v>182</v>
      </c>
      <c r="C37" s="821"/>
      <c r="D37" s="821"/>
      <c r="E37" s="887"/>
      <c r="F37" s="821"/>
      <c r="G37" s="887"/>
      <c r="H37" s="895"/>
    </row>
    <row r="38" spans="1:18" ht="15" customHeight="1" x14ac:dyDescent="0.2">
      <c r="A38" s="869" t="s">
        <v>211</v>
      </c>
      <c r="B38" s="823" t="s">
        <v>338</v>
      </c>
      <c r="C38" s="821">
        <v>1.2384999999999999</v>
      </c>
      <c r="D38" s="821"/>
      <c r="E38" s="821">
        <v>1.2384999999999999</v>
      </c>
      <c r="F38" s="821"/>
      <c r="G38" s="887">
        <v>1.2384999999999999</v>
      </c>
      <c r="H38" s="895"/>
      <c r="J38" s="877"/>
      <c r="K38" s="877"/>
      <c r="M38" s="897"/>
    </row>
    <row r="39" spans="1:18" ht="15" customHeight="1" x14ac:dyDescent="0.2">
      <c r="A39" s="869" t="s">
        <v>212</v>
      </c>
      <c r="B39" s="823" t="s">
        <v>338</v>
      </c>
      <c r="C39" s="821">
        <v>9.2100000000000001E-2</v>
      </c>
      <c r="D39" s="821"/>
      <c r="E39" s="821">
        <v>9.2100000000000001E-2</v>
      </c>
      <c r="F39" s="821"/>
      <c r="G39" s="887">
        <v>9.2100000000000001E-2</v>
      </c>
      <c r="H39" s="895"/>
      <c r="J39" s="877"/>
      <c r="K39" s="877"/>
      <c r="M39" s="897"/>
    </row>
    <row r="40" spans="1:18" ht="15" customHeight="1" x14ac:dyDescent="0.2">
      <c r="A40" s="869" t="s">
        <v>213</v>
      </c>
      <c r="B40" s="823" t="s">
        <v>338</v>
      </c>
      <c r="C40" s="821">
        <v>0.13969999999999999</v>
      </c>
      <c r="D40" s="821"/>
      <c r="E40" s="821">
        <v>0.13969999999999999</v>
      </c>
      <c r="F40" s="821"/>
      <c r="G40" s="887">
        <v>0.13969999999999999</v>
      </c>
      <c r="H40" s="895"/>
      <c r="J40" s="877"/>
      <c r="K40" s="877"/>
      <c r="M40" s="897"/>
    </row>
    <row r="41" spans="1:18" ht="15" customHeight="1" x14ac:dyDescent="0.2">
      <c r="A41" s="869" t="s">
        <v>214</v>
      </c>
      <c r="B41" s="823" t="s">
        <v>338</v>
      </c>
      <c r="C41" s="821">
        <v>0.26090000000000002</v>
      </c>
      <c r="D41" s="821"/>
      <c r="E41" s="821">
        <v>0.123</v>
      </c>
      <c r="F41" s="821"/>
      <c r="G41" s="887">
        <v>1.1900000000000001E-2</v>
      </c>
      <c r="H41" s="895"/>
      <c r="J41" s="877"/>
      <c r="K41" s="877"/>
      <c r="L41" s="898"/>
      <c r="M41" s="897"/>
    </row>
    <row r="42" spans="1:18" ht="15" customHeight="1" x14ac:dyDescent="0.2">
      <c r="A42" s="899" t="s">
        <v>177</v>
      </c>
      <c r="B42" s="900" t="s">
        <v>338</v>
      </c>
      <c r="C42" s="828">
        <v>0.40039999999999998</v>
      </c>
      <c r="D42" s="828"/>
      <c r="E42" s="828">
        <v>0.40039999999999998</v>
      </c>
      <c r="F42" s="828"/>
      <c r="G42" s="901">
        <v>0.40039999999999998</v>
      </c>
      <c r="H42" s="902"/>
      <c r="J42" s="877"/>
      <c r="K42" s="877"/>
    </row>
    <row r="43" spans="1:18" ht="15" customHeight="1" thickBot="1" x14ac:dyDescent="0.25">
      <c r="A43" s="936" t="s">
        <v>178</v>
      </c>
      <c r="B43" s="903"/>
      <c r="C43" s="904">
        <f>10.3318+0.0543-0.0026+0.2281-0.0121+0.7865+1.2207+0.8449+0.7732+0.4569+0.0989+0.0006+0.1544+0.0017+0.0428+0.0983+1.2385+0.0921+0.1397+0.2609+0.4004</f>
        <v>17.209999999999997</v>
      </c>
      <c r="D43" s="905"/>
      <c r="E43" s="904">
        <f>10.3318+0.0543-0.0026+0.2281-0.0121+0.7865+1.2207+0.9259+0.0989+0.0006+0.1544+0.0017+0.0428+0.0983+1.2385+0.0921+0.1397+0.123+0.4004</f>
        <v>15.923</v>
      </c>
      <c r="F43" s="903"/>
      <c r="G43" s="904">
        <f>10.3318+0.0543-0.0026+0.2281-0.0121+1.2207+0.0989+0.0006+0.1544+0.0017+0.0428+0.0983+1.2385+0.0921+0.1397+0.0119+0.4004</f>
        <v>14.099500000000001</v>
      </c>
      <c r="H43" s="882"/>
      <c r="J43" s="906"/>
      <c r="K43" s="906"/>
      <c r="L43" s="904"/>
    </row>
    <row r="44" spans="1:18" ht="15" customHeight="1" thickTop="1" x14ac:dyDescent="0.2">
      <c r="A44" s="907" t="s">
        <v>179</v>
      </c>
      <c r="B44" s="908" t="s">
        <v>166</v>
      </c>
      <c r="C44" s="909">
        <f>C26</f>
        <v>5</v>
      </c>
      <c r="D44" s="909"/>
      <c r="E44" s="909">
        <f>E23+E26</f>
        <v>68.87</v>
      </c>
      <c r="F44" s="909"/>
      <c r="G44" s="909">
        <f>G23+G26</f>
        <v>68.87</v>
      </c>
      <c r="H44" s="910"/>
      <c r="J44" s="877"/>
      <c r="K44" s="877"/>
    </row>
    <row r="45" spans="1:18" ht="15" customHeight="1" thickBot="1" x14ac:dyDescent="0.25">
      <c r="A45" s="911" t="s">
        <v>346</v>
      </c>
      <c r="B45" s="912" t="s">
        <v>339</v>
      </c>
      <c r="C45" s="913"/>
      <c r="D45" s="913"/>
      <c r="E45" s="913"/>
      <c r="F45" s="913"/>
      <c r="G45" s="914">
        <f>G20</f>
        <v>267.89999999999998</v>
      </c>
      <c r="H45" s="915"/>
      <c r="J45" s="877"/>
      <c r="K45" s="877"/>
    </row>
    <row r="46" spans="1:18" ht="13.5" customHeight="1" thickTop="1" x14ac:dyDescent="0.2">
      <c r="A46" s="869"/>
      <c r="C46" s="916"/>
      <c r="E46" s="916"/>
      <c r="G46" s="916"/>
      <c r="H46" s="870"/>
      <c r="J46" s="917"/>
      <c r="K46" s="877"/>
    </row>
    <row r="47" spans="1:18" s="919" customFormat="1" ht="15" customHeight="1" x14ac:dyDescent="0.2">
      <c r="A47" s="918" t="s">
        <v>342</v>
      </c>
      <c r="B47" s="919" t="s">
        <v>354</v>
      </c>
      <c r="C47" s="921" t="s">
        <v>355</v>
      </c>
      <c r="F47" s="921" t="s">
        <v>193</v>
      </c>
      <c r="G47" s="921"/>
      <c r="H47" s="895"/>
      <c r="J47" s="922"/>
      <c r="K47" s="923"/>
      <c r="L47" s="924"/>
      <c r="R47" s="925"/>
    </row>
    <row r="48" spans="1:18" ht="15" customHeight="1" x14ac:dyDescent="0.2">
      <c r="A48" s="918"/>
      <c r="B48" s="919"/>
      <c r="C48" s="921"/>
      <c r="E48" s="921"/>
      <c r="F48" s="921" t="s">
        <v>193</v>
      </c>
      <c r="G48" s="921"/>
      <c r="H48" s="870"/>
      <c r="J48" s="877"/>
      <c r="K48" s="877"/>
    </row>
    <row r="49" spans="1:18" s="930" customFormat="1" ht="15" customHeight="1" x14ac:dyDescent="0.2">
      <c r="A49" s="926" t="s">
        <v>356</v>
      </c>
      <c r="B49" s="927"/>
      <c r="C49" s="928"/>
      <c r="D49" s="928"/>
      <c r="E49" s="928"/>
      <c r="F49" s="928"/>
      <c r="G49" s="928"/>
      <c r="H49" s="929"/>
      <c r="J49" s="931"/>
      <c r="K49" s="931"/>
      <c r="L49" s="932"/>
      <c r="R49" s="933"/>
    </row>
    <row r="50" spans="1:18" s="919" customFormat="1" ht="15" customHeight="1" thickBot="1" x14ac:dyDescent="0.25">
      <c r="A50" s="1065" t="s">
        <v>357</v>
      </c>
      <c r="B50" s="1066"/>
      <c r="C50" s="1066"/>
      <c r="D50" s="1066"/>
      <c r="E50" s="1066"/>
      <c r="F50" s="1066"/>
      <c r="G50" s="1066"/>
      <c r="H50" s="1067"/>
      <c r="J50" s="923"/>
      <c r="K50" s="923"/>
      <c r="L50" s="924"/>
      <c r="R50" s="925"/>
    </row>
  </sheetData>
  <mergeCells count="4">
    <mergeCell ref="A8:B8"/>
    <mergeCell ref="D8:F8"/>
    <mergeCell ref="G8:H8"/>
    <mergeCell ref="A50:H5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50"/>
  <sheetViews>
    <sheetView topLeftCell="A38" zoomScale="110" zoomScaleNormal="110" workbookViewId="0">
      <selection activeCell="B55" sqref="B55"/>
    </sheetView>
  </sheetViews>
  <sheetFormatPr defaultColWidth="9.140625" defaultRowHeight="15" customHeight="1" x14ac:dyDescent="0.2"/>
  <cols>
    <col min="1" max="1" width="39.140625" style="823" customWidth="1"/>
    <col min="2" max="2" width="12" style="823" customWidth="1"/>
    <col min="3" max="3" width="12.7109375" style="823" customWidth="1"/>
    <col min="4" max="4" width="1.7109375" style="823" customWidth="1"/>
    <col min="5" max="5" width="10.85546875" style="823" customWidth="1"/>
    <col min="6" max="6" width="11.85546875" style="823" hidden="1" customWidth="1"/>
    <col min="7" max="7" width="13.42578125" style="823" customWidth="1"/>
    <col min="8" max="8" width="2.42578125" style="823" customWidth="1"/>
    <col min="9" max="9" width="18.7109375" style="823" bestFit="1" customWidth="1"/>
    <col min="10" max="10" width="17.5703125" style="866" customWidth="1"/>
    <col min="11" max="11" width="14.42578125" style="866" customWidth="1"/>
    <col min="12" max="12" width="12.7109375" style="867" customWidth="1"/>
    <col min="13" max="13" width="15.5703125" style="823" customWidth="1"/>
    <col min="14" max="14" width="10" style="823" customWidth="1"/>
    <col min="15" max="15" width="16.140625" style="823" bestFit="1" customWidth="1"/>
    <col min="16" max="17" width="7.85546875" style="823" bestFit="1" customWidth="1"/>
    <col min="18" max="18" width="9.5703125" style="868" bestFit="1" customWidth="1"/>
    <col min="19" max="19" width="16.5703125" style="823" customWidth="1"/>
    <col min="20" max="20" width="12.28515625" style="823" customWidth="1"/>
    <col min="21" max="21" width="12.5703125" style="823" customWidth="1"/>
    <col min="22" max="22" width="9.140625" style="823"/>
    <col min="23" max="23" width="16.42578125" style="823" customWidth="1"/>
    <col min="24" max="24" width="17.5703125" style="823" customWidth="1"/>
    <col min="25" max="25" width="16" style="823" customWidth="1"/>
    <col min="26" max="26" width="15" style="823" customWidth="1"/>
    <col min="27" max="27" width="14.28515625" style="823" bestFit="1" customWidth="1"/>
    <col min="28" max="29" width="14.140625" style="823" customWidth="1"/>
    <col min="30" max="16384" width="9.140625" style="823"/>
  </cols>
  <sheetData>
    <row r="1" spans="1:19" ht="15" customHeight="1" thickBot="1" x14ac:dyDescent="0.25"/>
    <row r="2" spans="1:19" ht="15" customHeight="1" x14ac:dyDescent="0.2">
      <c r="A2" s="863"/>
      <c r="B2" s="864"/>
      <c r="C2" s="864"/>
      <c r="D2" s="864"/>
      <c r="E2" s="864"/>
      <c r="F2" s="864"/>
      <c r="G2" s="864"/>
      <c r="H2" s="865"/>
    </row>
    <row r="3" spans="1:19" ht="15" customHeight="1" x14ac:dyDescent="0.2">
      <c r="A3" s="869"/>
      <c r="H3" s="870"/>
    </row>
    <row r="4" spans="1:19" ht="15" customHeight="1" x14ac:dyDescent="0.2">
      <c r="A4" s="869"/>
      <c r="H4" s="870"/>
    </row>
    <row r="5" spans="1:19" ht="15" customHeight="1" x14ac:dyDescent="0.2">
      <c r="A5" s="871" t="s">
        <v>60</v>
      </c>
      <c r="H5" s="870"/>
    </row>
    <row r="6" spans="1:19" ht="15" customHeight="1" x14ac:dyDescent="0.2">
      <c r="A6" s="872" t="s">
        <v>361</v>
      </c>
      <c r="H6" s="870"/>
    </row>
    <row r="7" spans="1:19" ht="15" hidden="1" customHeight="1" x14ac:dyDescent="0.2">
      <c r="A7" s="873"/>
      <c r="H7" s="870"/>
    </row>
    <row r="8" spans="1:19" ht="15" customHeight="1" x14ac:dyDescent="0.2">
      <c r="A8" s="1056" t="s">
        <v>318</v>
      </c>
      <c r="B8" s="1057"/>
      <c r="C8" s="937" t="s">
        <v>6</v>
      </c>
      <c r="D8" s="1058" t="s">
        <v>47</v>
      </c>
      <c r="E8" s="1059"/>
      <c r="F8" s="1060"/>
      <c r="G8" s="1058" t="s">
        <v>13</v>
      </c>
      <c r="H8" s="1061"/>
    </row>
    <row r="9" spans="1:19" ht="15" customHeight="1" x14ac:dyDescent="0.2">
      <c r="A9" s="871" t="s">
        <v>149</v>
      </c>
      <c r="H9" s="870"/>
    </row>
    <row r="10" spans="1:19" ht="15" customHeight="1" x14ac:dyDescent="0.2">
      <c r="A10" s="869" t="s">
        <v>150</v>
      </c>
      <c r="B10" s="823" t="s">
        <v>338</v>
      </c>
      <c r="C10" s="821">
        <v>11.7201</v>
      </c>
      <c r="D10" s="874"/>
      <c r="E10" s="821">
        <v>11.7201</v>
      </c>
      <c r="F10" s="821"/>
      <c r="G10" s="821">
        <v>11.7201</v>
      </c>
      <c r="H10" s="875"/>
      <c r="I10" s="876"/>
      <c r="J10" s="877"/>
      <c r="K10" s="877"/>
      <c r="Q10" s="878"/>
      <c r="R10" s="879"/>
    </row>
    <row r="11" spans="1:19" ht="15" customHeight="1" x14ac:dyDescent="0.2">
      <c r="A11" s="869" t="s">
        <v>347</v>
      </c>
      <c r="B11" s="823" t="s">
        <v>338</v>
      </c>
      <c r="C11" s="821">
        <v>5.3499999999999999E-2</v>
      </c>
      <c r="D11" s="874"/>
      <c r="E11" s="821">
        <v>5.3499999999999999E-2</v>
      </c>
      <c r="F11" s="821"/>
      <c r="G11" s="821">
        <v>5.3499999999999999E-2</v>
      </c>
      <c r="H11" s="875"/>
      <c r="I11" s="876"/>
      <c r="J11" s="877"/>
      <c r="K11" s="877"/>
      <c r="Q11" s="821"/>
    </row>
    <row r="12" spans="1:19" ht="15" customHeight="1" x14ac:dyDescent="0.2">
      <c r="A12" s="869" t="s">
        <v>348</v>
      </c>
      <c r="B12" s="823" t="s">
        <v>338</v>
      </c>
      <c r="C12" s="821">
        <v>-2.5999999999999999E-3</v>
      </c>
      <c r="D12" s="874"/>
      <c r="E12" s="821">
        <v>-2.5999999999999999E-3</v>
      </c>
      <c r="F12" s="821"/>
      <c r="G12" s="821">
        <v>-2.5999999999999999E-3</v>
      </c>
      <c r="H12" s="875"/>
      <c r="I12" s="876"/>
      <c r="J12" s="877"/>
      <c r="K12" s="877"/>
      <c r="P12" s="821"/>
      <c r="Q12" s="821"/>
      <c r="S12" s="880"/>
    </row>
    <row r="13" spans="1:19" ht="15" customHeight="1" x14ac:dyDescent="0.2">
      <c r="A13" s="869" t="s">
        <v>350</v>
      </c>
      <c r="B13" s="823" t="s">
        <v>338</v>
      </c>
      <c r="C13" s="821">
        <v>0.22470000000000001</v>
      </c>
      <c r="D13" s="874"/>
      <c r="E13" s="821">
        <v>0.22470000000000001</v>
      </c>
      <c r="F13" s="821"/>
      <c r="G13" s="821">
        <v>0.22470000000000001</v>
      </c>
      <c r="H13" s="875"/>
      <c r="I13" s="876"/>
      <c r="J13" s="877"/>
      <c r="K13" s="877"/>
      <c r="Q13" s="821"/>
      <c r="R13" s="881"/>
      <c r="S13" s="881"/>
    </row>
    <row r="14" spans="1:19" ht="15" customHeight="1" x14ac:dyDescent="0.2">
      <c r="A14" s="869" t="s">
        <v>349</v>
      </c>
      <c r="B14" s="823" t="s">
        <v>338</v>
      </c>
      <c r="C14" s="821">
        <v>-1.1900000000000001E-2</v>
      </c>
      <c r="D14" s="874"/>
      <c r="E14" s="821">
        <v>-1.1900000000000001E-2</v>
      </c>
      <c r="F14" s="821"/>
      <c r="G14" s="821">
        <v>-1.1900000000000001E-2</v>
      </c>
      <c r="H14" s="875"/>
      <c r="I14" s="876"/>
      <c r="J14" s="877"/>
      <c r="K14" s="877"/>
      <c r="Q14" s="821"/>
      <c r="R14" s="881"/>
      <c r="S14" s="881"/>
    </row>
    <row r="15" spans="1:19" ht="15" customHeight="1" x14ac:dyDescent="0.2">
      <c r="A15" s="871" t="s">
        <v>156</v>
      </c>
      <c r="C15" s="822"/>
      <c r="D15" s="822"/>
      <c r="E15" s="822"/>
      <c r="F15" s="822"/>
      <c r="G15" s="822"/>
      <c r="H15" s="882"/>
      <c r="P15" s="883"/>
      <c r="Q15" s="884"/>
      <c r="R15" s="885"/>
    </row>
    <row r="16" spans="1:19" ht="15" customHeight="1" x14ac:dyDescent="0.2">
      <c r="A16" s="869" t="s">
        <v>157</v>
      </c>
      <c r="B16" s="823" t="s">
        <v>339</v>
      </c>
      <c r="C16" s="821"/>
      <c r="D16" s="821"/>
      <c r="E16" s="821"/>
      <c r="F16" s="821"/>
      <c r="G16" s="821">
        <v>199.78720000000001</v>
      </c>
      <c r="H16" s="882"/>
      <c r="J16" s="877"/>
      <c r="K16" s="877"/>
    </row>
    <row r="17" spans="1:13" ht="15" customHeight="1" x14ac:dyDescent="0.2">
      <c r="A17" s="869" t="s">
        <v>159</v>
      </c>
      <c r="B17" s="823" t="s">
        <v>338</v>
      </c>
      <c r="C17" s="821">
        <v>0.74119999999999997</v>
      </c>
      <c r="D17" s="821"/>
      <c r="E17" s="821">
        <v>0.74119999999999997</v>
      </c>
      <c r="F17" s="821"/>
      <c r="G17" s="821"/>
      <c r="H17" s="882"/>
      <c r="J17" s="877"/>
      <c r="K17" s="877"/>
    </row>
    <row r="18" spans="1:13" ht="15" customHeight="1" x14ac:dyDescent="0.2">
      <c r="A18" s="871" t="s">
        <v>160</v>
      </c>
      <c r="B18" s="823" t="s">
        <v>338</v>
      </c>
      <c r="C18" s="821">
        <v>1.3977999999999999</v>
      </c>
      <c r="D18" s="821"/>
      <c r="E18" s="821">
        <v>1.3977999999999999</v>
      </c>
      <c r="F18" s="821"/>
      <c r="G18" s="821">
        <v>1.3977999999999999</v>
      </c>
      <c r="H18" s="882"/>
      <c r="J18" s="877"/>
      <c r="K18" s="877"/>
    </row>
    <row r="19" spans="1:13" ht="15" customHeight="1" x14ac:dyDescent="0.2">
      <c r="A19" s="871" t="s">
        <v>161</v>
      </c>
      <c r="C19" s="821"/>
      <c r="D19" s="821"/>
      <c r="E19" s="821"/>
      <c r="F19" s="821"/>
      <c r="G19" s="821"/>
      <c r="H19" s="875"/>
    </row>
    <row r="20" spans="1:13" ht="15" customHeight="1" x14ac:dyDescent="0.2">
      <c r="A20" s="869" t="s">
        <v>162</v>
      </c>
      <c r="B20" s="823" t="s">
        <v>339</v>
      </c>
      <c r="C20" s="821"/>
      <c r="D20" s="821"/>
      <c r="E20" s="821"/>
      <c r="F20" s="821"/>
      <c r="G20" s="824">
        <v>267.89999999999998</v>
      </c>
      <c r="H20" s="875"/>
      <c r="J20" s="877"/>
      <c r="K20" s="877"/>
    </row>
    <row r="21" spans="1:13" ht="15" customHeight="1" x14ac:dyDescent="0.2">
      <c r="A21" s="869" t="s">
        <v>163</v>
      </c>
      <c r="B21" s="823" t="s">
        <v>338</v>
      </c>
      <c r="C21" s="821">
        <v>0.84489999999999998</v>
      </c>
      <c r="D21" s="886"/>
      <c r="E21" s="887">
        <v>0.92589999999999995</v>
      </c>
      <c r="F21" s="821"/>
      <c r="G21" s="821"/>
      <c r="H21" s="875"/>
      <c r="J21" s="877"/>
      <c r="K21" s="877"/>
      <c r="M21" s="821"/>
    </row>
    <row r="22" spans="1:13" ht="15" customHeight="1" x14ac:dyDescent="0.2">
      <c r="A22" s="871" t="s">
        <v>164</v>
      </c>
      <c r="C22" s="821"/>
      <c r="D22" s="886"/>
      <c r="E22" s="821"/>
      <c r="F22" s="821"/>
      <c r="G22" s="821"/>
      <c r="H22" s="875"/>
    </row>
    <row r="23" spans="1:13" ht="15" customHeight="1" x14ac:dyDescent="0.2">
      <c r="A23" s="869" t="s">
        <v>334</v>
      </c>
      <c r="B23" s="823" t="s">
        <v>166</v>
      </c>
      <c r="C23" s="821"/>
      <c r="D23" s="886"/>
      <c r="E23" s="888">
        <v>40.15</v>
      </c>
      <c r="F23" s="824"/>
      <c r="G23" s="888">
        <v>40.15</v>
      </c>
      <c r="H23" s="875"/>
      <c r="J23" s="877"/>
      <c r="K23" s="877"/>
      <c r="M23" s="821"/>
    </row>
    <row r="24" spans="1:13" ht="15" customHeight="1" x14ac:dyDescent="0.2">
      <c r="A24" s="869" t="s">
        <v>167</v>
      </c>
      <c r="B24" s="823" t="s">
        <v>338</v>
      </c>
      <c r="C24" s="821">
        <v>0.7732</v>
      </c>
      <c r="D24" s="886"/>
      <c r="E24" s="821"/>
      <c r="F24" s="821"/>
      <c r="G24" s="821"/>
      <c r="H24" s="875"/>
      <c r="J24" s="877"/>
      <c r="K24" s="877"/>
    </row>
    <row r="25" spans="1:13" ht="15" customHeight="1" x14ac:dyDescent="0.2">
      <c r="A25" s="871" t="s">
        <v>168</v>
      </c>
      <c r="D25" s="886"/>
      <c r="E25" s="821"/>
      <c r="F25" s="821"/>
      <c r="G25" s="821"/>
      <c r="H25" s="875"/>
      <c r="I25" s="821"/>
    </row>
    <row r="26" spans="1:13" ht="15" customHeight="1" x14ac:dyDescent="0.2">
      <c r="A26" s="869" t="s">
        <v>221</v>
      </c>
      <c r="B26" s="823" t="s">
        <v>170</v>
      </c>
      <c r="C26" s="824">
        <v>5</v>
      </c>
      <c r="D26" s="886"/>
      <c r="E26" s="888">
        <v>28.72</v>
      </c>
      <c r="F26" s="824"/>
      <c r="G26" s="888">
        <v>28.72</v>
      </c>
      <c r="H26" s="875"/>
      <c r="J26" s="877"/>
      <c r="K26" s="877"/>
    </row>
    <row r="27" spans="1:13" ht="15" customHeight="1" x14ac:dyDescent="0.2">
      <c r="A27" s="869" t="s">
        <v>171</v>
      </c>
      <c r="B27" s="823" t="s">
        <v>338</v>
      </c>
      <c r="C27" s="821">
        <v>0.45689999999999997</v>
      </c>
      <c r="D27" s="821"/>
      <c r="E27" s="821"/>
      <c r="F27" s="821"/>
      <c r="G27" s="821"/>
      <c r="H27" s="875"/>
      <c r="J27" s="877"/>
      <c r="K27" s="877"/>
    </row>
    <row r="28" spans="1:13" ht="15" customHeight="1" x14ac:dyDescent="0.2">
      <c r="A28" s="889" t="s">
        <v>268</v>
      </c>
      <c r="B28" s="890" t="s">
        <v>338</v>
      </c>
      <c r="C28" s="825">
        <v>0.10979999999999999</v>
      </c>
      <c r="D28" s="891"/>
      <c r="E28" s="892">
        <v>0.10979999999999999</v>
      </c>
      <c r="F28" s="891"/>
      <c r="G28" s="892">
        <v>0.10979999999999999</v>
      </c>
      <c r="H28" s="882"/>
      <c r="J28" s="877"/>
      <c r="K28" s="877"/>
    </row>
    <row r="29" spans="1:13" ht="15" customHeight="1" x14ac:dyDescent="0.2">
      <c r="A29" s="893" t="s">
        <v>269</v>
      </c>
      <c r="B29" s="823" t="s">
        <v>338</v>
      </c>
      <c r="C29" s="826">
        <v>5.9999999999999995E-4</v>
      </c>
      <c r="D29" s="894"/>
      <c r="E29" s="826">
        <v>5.9999999999999995E-4</v>
      </c>
      <c r="F29" s="894"/>
      <c r="G29" s="826">
        <v>5.9999999999999995E-4</v>
      </c>
      <c r="H29" s="882"/>
      <c r="I29" s="883"/>
      <c r="J29" s="877"/>
      <c r="K29" s="877"/>
    </row>
    <row r="30" spans="1:13" ht="16.5" customHeight="1" x14ac:dyDescent="0.2">
      <c r="A30" s="871" t="s">
        <v>174</v>
      </c>
      <c r="C30" s="821"/>
      <c r="D30" s="821"/>
      <c r="E30" s="821"/>
      <c r="F30" s="821"/>
      <c r="G30" s="821"/>
      <c r="H30" s="875"/>
    </row>
    <row r="31" spans="1:13" ht="15" customHeight="1" x14ac:dyDescent="0.2">
      <c r="A31" s="869" t="s">
        <v>175</v>
      </c>
      <c r="B31" s="823" t="s">
        <v>338</v>
      </c>
      <c r="C31" s="821">
        <v>0.15440000000000001</v>
      </c>
      <c r="D31" s="821"/>
      <c r="E31" s="821">
        <v>0.15440000000000001</v>
      </c>
      <c r="F31" s="821"/>
      <c r="G31" s="821">
        <v>0.15440000000000001</v>
      </c>
      <c r="H31" s="895"/>
      <c r="J31" s="877"/>
      <c r="K31" s="877"/>
    </row>
    <row r="32" spans="1:13" ht="15" customHeight="1" x14ac:dyDescent="0.2">
      <c r="A32" s="869" t="s">
        <v>176</v>
      </c>
      <c r="B32" s="823" t="s">
        <v>338</v>
      </c>
      <c r="C32" s="821"/>
      <c r="D32" s="821"/>
      <c r="E32" s="821"/>
      <c r="F32" s="821"/>
      <c r="G32" s="887"/>
      <c r="H32" s="875"/>
      <c r="I32" s="821"/>
      <c r="J32" s="877"/>
      <c r="K32" s="877"/>
    </row>
    <row r="33" spans="1:18" ht="15" customHeight="1" x14ac:dyDescent="0.2">
      <c r="A33" s="869" t="s">
        <v>200</v>
      </c>
      <c r="B33" s="823" t="s">
        <v>338</v>
      </c>
      <c r="C33" s="821"/>
      <c r="D33" s="821"/>
      <c r="E33" s="821"/>
      <c r="F33" s="821"/>
      <c r="G33" s="887"/>
      <c r="H33" s="875"/>
      <c r="I33" s="821"/>
      <c r="J33" s="877"/>
      <c r="K33" s="877"/>
    </row>
    <row r="34" spans="1:18" ht="15" customHeight="1" x14ac:dyDescent="0.2">
      <c r="A34" s="869" t="s">
        <v>337</v>
      </c>
      <c r="B34" s="823" t="s">
        <v>338</v>
      </c>
      <c r="C34" s="821">
        <v>1.6999999999999999E-3</v>
      </c>
      <c r="D34" s="821"/>
      <c r="E34" s="821">
        <v>1.6999999999999999E-3</v>
      </c>
      <c r="F34" s="821"/>
      <c r="G34" s="887">
        <v>1.6999999999999999E-3</v>
      </c>
      <c r="H34" s="895"/>
      <c r="J34" s="877"/>
      <c r="K34" s="877"/>
      <c r="O34" s="896"/>
      <c r="P34" s="896"/>
      <c r="Q34" s="896"/>
    </row>
    <row r="35" spans="1:18" ht="15" customHeight="1" x14ac:dyDescent="0.2">
      <c r="A35" s="869" t="s">
        <v>340</v>
      </c>
      <c r="B35" s="823" t="s">
        <v>338</v>
      </c>
      <c r="C35" s="821">
        <v>4.2799999999999998E-2</v>
      </c>
      <c r="D35" s="821"/>
      <c r="E35" s="821">
        <v>4.2799999999999998E-2</v>
      </c>
      <c r="F35" s="821"/>
      <c r="G35" s="887">
        <v>4.2799999999999998E-2</v>
      </c>
      <c r="H35" s="895"/>
      <c r="I35" s="821"/>
      <c r="J35" s="877"/>
      <c r="K35" s="877"/>
    </row>
    <row r="36" spans="1:18" ht="15" customHeight="1" x14ac:dyDescent="0.2">
      <c r="A36" s="893" t="s">
        <v>335</v>
      </c>
      <c r="B36" s="823" t="s">
        <v>338</v>
      </c>
      <c r="C36" s="827">
        <v>9.8299999999999998E-2</v>
      </c>
      <c r="D36" s="891"/>
      <c r="E36" s="827">
        <v>9.8299999999999998E-2</v>
      </c>
      <c r="F36" s="891"/>
      <c r="G36" s="827">
        <v>9.8299999999999998E-2</v>
      </c>
      <c r="H36" s="895"/>
      <c r="J36" s="877"/>
      <c r="K36" s="877"/>
    </row>
    <row r="37" spans="1:18" ht="15" customHeight="1" x14ac:dyDescent="0.2">
      <c r="A37" s="871" t="s">
        <v>182</v>
      </c>
      <c r="C37" s="821"/>
      <c r="D37" s="821"/>
      <c r="E37" s="887"/>
      <c r="F37" s="821"/>
      <c r="G37" s="887"/>
      <c r="H37" s="895"/>
    </row>
    <row r="38" spans="1:18" ht="15" customHeight="1" x14ac:dyDescent="0.2">
      <c r="A38" s="869" t="s">
        <v>211</v>
      </c>
      <c r="B38" s="823" t="s">
        <v>338</v>
      </c>
      <c r="C38" s="821">
        <v>1.4294</v>
      </c>
      <c r="D38" s="821"/>
      <c r="E38" s="821">
        <v>1.4294</v>
      </c>
      <c r="F38" s="821"/>
      <c r="G38" s="887">
        <v>1.4294</v>
      </c>
      <c r="H38" s="895"/>
      <c r="J38" s="877"/>
      <c r="K38" s="877"/>
      <c r="M38" s="897"/>
    </row>
    <row r="39" spans="1:18" ht="15" customHeight="1" x14ac:dyDescent="0.2">
      <c r="A39" s="869" t="s">
        <v>212</v>
      </c>
      <c r="B39" s="823" t="s">
        <v>338</v>
      </c>
      <c r="C39" s="821">
        <v>8.8400000000000006E-2</v>
      </c>
      <c r="D39" s="821"/>
      <c r="E39" s="821">
        <v>8.8400000000000006E-2</v>
      </c>
      <c r="F39" s="821"/>
      <c r="G39" s="887">
        <v>8.8400000000000006E-2</v>
      </c>
      <c r="H39" s="895"/>
      <c r="J39" s="877"/>
      <c r="K39" s="877"/>
      <c r="M39" s="897"/>
    </row>
    <row r="40" spans="1:18" ht="15" customHeight="1" x14ac:dyDescent="0.2">
      <c r="A40" s="869" t="s">
        <v>213</v>
      </c>
      <c r="B40" s="823" t="s">
        <v>338</v>
      </c>
      <c r="C40" s="821">
        <v>0.1636</v>
      </c>
      <c r="D40" s="821"/>
      <c r="E40" s="821">
        <v>0.1636</v>
      </c>
      <c r="F40" s="821"/>
      <c r="G40" s="887">
        <v>0.1636</v>
      </c>
      <c r="H40" s="895"/>
      <c r="J40" s="877"/>
      <c r="K40" s="877"/>
      <c r="M40" s="897"/>
    </row>
    <row r="41" spans="1:18" ht="15" customHeight="1" x14ac:dyDescent="0.2">
      <c r="A41" s="869" t="s">
        <v>214</v>
      </c>
      <c r="B41" s="823" t="s">
        <v>338</v>
      </c>
      <c r="C41" s="821">
        <v>0.26219999999999999</v>
      </c>
      <c r="D41" s="821"/>
      <c r="E41" s="821">
        <v>0.1244</v>
      </c>
      <c r="F41" s="821"/>
      <c r="G41" s="887">
        <v>1.32E-2</v>
      </c>
      <c r="H41" s="895"/>
      <c r="J41" s="877"/>
      <c r="K41" s="877"/>
      <c r="L41" s="898"/>
      <c r="M41" s="897"/>
    </row>
    <row r="42" spans="1:18" ht="15" customHeight="1" x14ac:dyDescent="0.2">
      <c r="A42" s="899" t="s">
        <v>177</v>
      </c>
      <c r="B42" s="900" t="s">
        <v>338</v>
      </c>
      <c r="C42" s="828">
        <v>0.40039999999999998</v>
      </c>
      <c r="D42" s="828"/>
      <c r="E42" s="828">
        <v>0.40039999999999998</v>
      </c>
      <c r="F42" s="828"/>
      <c r="G42" s="901">
        <v>0.40039999999999998</v>
      </c>
      <c r="H42" s="902"/>
      <c r="J42" s="877"/>
      <c r="K42" s="877"/>
    </row>
    <row r="43" spans="1:18" ht="15" customHeight="1" thickBot="1" x14ac:dyDescent="0.25">
      <c r="A43" s="936" t="s">
        <v>178</v>
      </c>
      <c r="B43" s="903"/>
      <c r="C43" s="904">
        <f>11.7201+0.0535-0.0026+0.2247-0.0119+0.7412+1.3978+0.8449+0.7732+0.4569+0.1098+0.0006+0.1544+0.0017+0.0428+0.0983+1.4294+0.0884+0.1636+0.2622+0.4004</f>
        <v>18.949399999999997</v>
      </c>
      <c r="D43" s="905"/>
      <c r="E43" s="904">
        <f>11.7201+0.0535-0.0026+0.2247-0.0119+0.7412+1.3978+0.9259+0.1098+0.0006+0.1544+0.0017+0.0428+0.0983+1.4294+0.0884+0.1636+0.1244+0.4004</f>
        <v>17.662500000000001</v>
      </c>
      <c r="F43" s="903"/>
      <c r="G43" s="904">
        <f>11.7201+0.0535-0.0026+0.2247-0.0119+1.3978+0.1098+0.0006+0.1544+0.0017+0.0428+0.0983+1.4294+0.0884+0.1636+0.0132+0.4004</f>
        <v>15.8842</v>
      </c>
      <c r="H43" s="882"/>
      <c r="J43" s="906"/>
      <c r="K43" s="906"/>
      <c r="L43" s="904"/>
    </row>
    <row r="44" spans="1:18" ht="15" customHeight="1" thickTop="1" x14ac:dyDescent="0.2">
      <c r="A44" s="907" t="s">
        <v>179</v>
      </c>
      <c r="B44" s="908" t="s">
        <v>166</v>
      </c>
      <c r="C44" s="909">
        <f>C26</f>
        <v>5</v>
      </c>
      <c r="D44" s="909"/>
      <c r="E44" s="909">
        <f>E23+E26</f>
        <v>68.87</v>
      </c>
      <c r="F44" s="909"/>
      <c r="G44" s="909">
        <f>G23+G26</f>
        <v>68.87</v>
      </c>
      <c r="H44" s="910"/>
      <c r="J44" s="877"/>
      <c r="K44" s="877"/>
    </row>
    <row r="45" spans="1:18" ht="15" customHeight="1" thickBot="1" x14ac:dyDescent="0.25">
      <c r="A45" s="911" t="s">
        <v>346</v>
      </c>
      <c r="B45" s="912" t="s">
        <v>339</v>
      </c>
      <c r="C45" s="913"/>
      <c r="D45" s="913"/>
      <c r="E45" s="913"/>
      <c r="F45" s="913"/>
      <c r="G45" s="914">
        <f>G20</f>
        <v>267.89999999999998</v>
      </c>
      <c r="H45" s="915"/>
      <c r="J45" s="877"/>
      <c r="K45" s="877"/>
    </row>
    <row r="46" spans="1:18" ht="13.5" customHeight="1" thickTop="1" x14ac:dyDescent="0.2">
      <c r="A46" s="869"/>
      <c r="C46" s="916"/>
      <c r="E46" s="916"/>
      <c r="G46" s="916"/>
      <c r="H46" s="870"/>
      <c r="J46" s="917"/>
      <c r="K46" s="877"/>
    </row>
    <row r="47" spans="1:18" s="919" customFormat="1" ht="15" customHeight="1" x14ac:dyDescent="0.2">
      <c r="A47" s="918" t="s">
        <v>342</v>
      </c>
      <c r="B47" s="919" t="s">
        <v>343</v>
      </c>
      <c r="C47" s="920"/>
      <c r="E47" s="921" t="s">
        <v>344</v>
      </c>
      <c r="F47" s="921" t="s">
        <v>193</v>
      </c>
      <c r="G47" s="921"/>
      <c r="H47" s="895"/>
      <c r="J47" s="922"/>
      <c r="K47" s="923"/>
      <c r="L47" s="924"/>
      <c r="R47" s="925"/>
    </row>
    <row r="48" spans="1:18" ht="15" customHeight="1" x14ac:dyDescent="0.2">
      <c r="A48" s="918"/>
      <c r="B48" s="919"/>
      <c r="C48" s="921"/>
      <c r="E48" s="921"/>
      <c r="F48" s="921" t="s">
        <v>193</v>
      </c>
      <c r="G48" s="921"/>
      <c r="H48" s="870"/>
      <c r="J48" s="877"/>
      <c r="K48" s="877"/>
    </row>
    <row r="49" spans="1:18" s="930" customFormat="1" ht="15" customHeight="1" x14ac:dyDescent="0.2">
      <c r="A49" s="926" t="s">
        <v>341</v>
      </c>
      <c r="B49" s="927"/>
      <c r="C49" s="928"/>
      <c r="D49" s="928"/>
      <c r="E49" s="928"/>
      <c r="F49" s="928"/>
      <c r="G49" s="928"/>
      <c r="H49" s="929"/>
      <c r="J49" s="931"/>
      <c r="K49" s="931"/>
      <c r="L49" s="932"/>
      <c r="R49" s="933"/>
    </row>
    <row r="50" spans="1:18" s="919" customFormat="1" ht="15" customHeight="1" thickBot="1" x14ac:dyDescent="0.25">
      <c r="A50" s="1062" t="s">
        <v>345</v>
      </c>
      <c r="B50" s="1063"/>
      <c r="C50" s="1063"/>
      <c r="D50" s="1063"/>
      <c r="E50" s="1063"/>
      <c r="F50" s="1063"/>
      <c r="G50" s="1063"/>
      <c r="H50" s="1064"/>
      <c r="J50" s="923"/>
      <c r="K50" s="923"/>
      <c r="L50" s="924"/>
      <c r="R50" s="925"/>
    </row>
  </sheetData>
  <mergeCells count="4">
    <mergeCell ref="A8:B8"/>
    <mergeCell ref="D8:F8"/>
    <mergeCell ref="G8:H8"/>
    <mergeCell ref="A50:H5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4</vt:i4>
      </vt:variant>
    </vt:vector>
  </HeadingPairs>
  <TitlesOfParts>
    <vt:vector size="25" baseType="lpstr">
      <vt:lpstr>Effective Rate_2013 (Baybay)</vt:lpstr>
      <vt:lpstr>Summary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Effective Rate_2014 (Baybay)</vt:lpstr>
      <vt:lpstr>Prud Rqmt PEMC</vt:lpstr>
      <vt:lpstr>Sr. Citizensdata</vt:lpstr>
      <vt:lpstr>2014_Annex A-3 (2)</vt:lpstr>
      <vt:lpstr>PSALM</vt:lpstr>
      <vt:lpstr>Notes</vt:lpstr>
      <vt:lpstr>Info</vt:lpstr>
      <vt:lpstr>Sheet1</vt:lpstr>
      <vt:lpstr>'2014_Annex A-3 (2)'!Print_Area</vt:lpstr>
      <vt:lpstr>'Effective Rate_2013 (Baybay)'!Print_Area</vt:lpstr>
      <vt:lpstr>'Effective Rate_2014 (Baybay)'!Print_Area</vt:lpstr>
      <vt:lpstr>Info!Print_Area</vt:lpstr>
    </vt:vector>
  </TitlesOfParts>
  <Company>leyeco 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engr. jun velos</dc:creator>
  <cp:lastModifiedBy>Emmanuel Mondragon</cp:lastModifiedBy>
  <cp:lastPrinted>2020-12-15T07:20:24Z</cp:lastPrinted>
  <dcterms:created xsi:type="dcterms:W3CDTF">2005-01-07T01:03:54Z</dcterms:created>
  <dcterms:modified xsi:type="dcterms:W3CDTF">2022-11-22T07:47:39Z</dcterms:modified>
</cp:coreProperties>
</file>